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ilestone Vault\Projects\1646 - Modular LBM\Documentation\"/>
    </mc:Choice>
  </mc:AlternateContent>
  <xr:revisionPtr revIDLastSave="0" documentId="13_ncr:1_{A18B6602-8125-49B6-8A80-18A2732288AD}" xr6:coauthVersionLast="44" xr6:coauthVersionMax="44" xr10:uidLastSave="{00000000-0000-0000-0000-000000000000}"/>
  <bookViews>
    <workbookView xWindow="-120" yWindow="-120" windowWidth="29040" windowHeight="15840" tabRatio="666" xr2:uid="{B4BE50D1-27F2-4366-8D8D-79898E18C061}"/>
  </bookViews>
  <sheets>
    <sheet name="BOM Generator V2" sheetId="15" r:id="rId1"/>
    <sheet name="Video Wall Display Specs" sheetId="16" r:id="rId2"/>
  </sheets>
  <definedNames>
    <definedName name="_xlnm._FilterDatabase" localSheetId="0" hidden="1">'BOM Generator V2'!$B$26:$E$43</definedName>
    <definedName name="CRH">'BOM Generator V2'!$I$9</definedName>
    <definedName name="DH">'BOM Generator V2'!$D$18</definedName>
    <definedName name="DispPic">INDIRECT('BOM Generator V2'!$D$11)</definedName>
    <definedName name="DO">'BOM Generator V2'!$B$109:$B$110</definedName>
    <definedName name="DW">'BOM Generator V2'!$D$17</definedName>
    <definedName name="Landscape">'BOM Generator V2'!$C$109:$E$109</definedName>
    <definedName name="Portrait">'BOM Generator V2'!$C$110:$E$110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6" l="1"/>
  <c r="D22" i="15" l="1"/>
  <c r="J9" i="15" l="1"/>
  <c r="B20" i="15"/>
  <c r="B19" i="15"/>
  <c r="B18" i="15"/>
  <c r="B17" i="15"/>
  <c r="D18" i="16" l="1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I9" i="15" l="1"/>
  <c r="D9" i="16" l="1"/>
  <c r="D16" i="16" l="1"/>
  <c r="D3" i="16" l="1"/>
  <c r="D4" i="16"/>
  <c r="D5" i="16"/>
  <c r="D6" i="16"/>
  <c r="D7" i="16"/>
  <c r="D8" i="16"/>
  <c r="D10" i="16"/>
  <c r="D11" i="16"/>
  <c r="D12" i="16"/>
  <c r="D13" i="16"/>
  <c r="D14" i="16"/>
  <c r="D15" i="16"/>
  <c r="D2" i="16"/>
  <c r="D19" i="15" l="1"/>
  <c r="D20" i="15"/>
  <c r="D18" i="15"/>
  <c r="D21" i="15"/>
  <c r="M18" i="15" s="1"/>
  <c r="D17" i="15"/>
  <c r="M24" i="15"/>
  <c r="I8" i="15" l="1"/>
  <c r="I11" i="15"/>
  <c r="J11" i="15" s="1"/>
  <c r="M22" i="15"/>
  <c r="I7" i="15"/>
  <c r="M26" i="15"/>
  <c r="M20" i="15"/>
  <c r="I13" i="15"/>
  <c r="J13" i="15" s="1"/>
  <c r="I10" i="15" l="1"/>
  <c r="J8" i="15"/>
  <c r="M27" i="15"/>
  <c r="J7" i="15"/>
  <c r="L8" i="15"/>
  <c r="J10" i="15" l="1"/>
  <c r="I12" i="15"/>
  <c r="M10" i="15"/>
  <c r="M19" i="15" l="1"/>
  <c r="E27" i="15" s="1"/>
  <c r="E28" i="15" s="1"/>
  <c r="J12" i="15"/>
  <c r="M11" i="15"/>
  <c r="M12" i="15" s="1"/>
  <c r="E33" i="15"/>
  <c r="E30" i="15"/>
  <c r="E31" i="15" s="1"/>
  <c r="E29" i="15"/>
  <c r="M8" i="15" l="1"/>
  <c r="N10" i="15" s="1"/>
  <c r="N11" i="15" s="1"/>
  <c r="N12" i="15" s="1"/>
  <c r="N8" i="15" s="1"/>
  <c r="E42" i="15"/>
  <c r="E41" i="15"/>
  <c r="E43" i="15"/>
  <c r="O10" i="15" l="1"/>
  <c r="O11" i="15" s="1"/>
  <c r="O12" i="15" s="1"/>
  <c r="E39" i="15" s="1"/>
  <c r="E40" i="15"/>
  <c r="O8" i="15" l="1"/>
  <c r="P10" i="15" s="1"/>
  <c r="P11" i="15" s="1"/>
  <c r="P12" i="15" s="1"/>
  <c r="E38" i="15" s="1"/>
  <c r="P8" i="15" l="1"/>
  <c r="Q10" i="15" s="1"/>
  <c r="Q11" i="15" s="1"/>
  <c r="Q12" i="15" s="1"/>
  <c r="E37" i="15" l="1"/>
  <c r="Q8" i="15"/>
  <c r="R10" i="15" l="1"/>
  <c r="R11" i="15" s="1"/>
  <c r="R12" i="15" l="1"/>
  <c r="E36" i="15" s="1"/>
  <c r="R8" i="15" l="1"/>
  <c r="S10" i="15" s="1"/>
  <c r="S11" i="15" s="1"/>
  <c r="S12" i="15" s="1"/>
  <c r="E35" i="15" s="1"/>
  <c r="S8" i="15" l="1"/>
  <c r="T10" i="15" l="1"/>
  <c r="T11" i="15" s="1"/>
  <c r="T12" i="15" s="1"/>
  <c r="E32" i="15" s="1"/>
  <c r="E34" i="15" l="1"/>
  <c r="M14" i="15"/>
  <c r="T8" i="15"/>
</calcChain>
</file>

<file path=xl/sharedStrings.xml><?xml version="1.0" encoding="utf-8"?>
<sst xmlns="http://schemas.openxmlformats.org/spreadsheetml/2006/main" count="132" uniqueCount="117">
  <si>
    <t>Component</t>
  </si>
  <si>
    <t>QTY</t>
  </si>
  <si>
    <t>FMSH36</t>
  </si>
  <si>
    <t>FMSH96</t>
  </si>
  <si>
    <t>FMSH84</t>
  </si>
  <si>
    <t>FMSH72</t>
  </si>
  <si>
    <t>FMSH60</t>
  </si>
  <si>
    <t>FMSH48</t>
  </si>
  <si>
    <t>FMSH120</t>
  </si>
  <si>
    <t>FMSH108</t>
  </si>
  <si>
    <t>FMSHC1</t>
  </si>
  <si>
    <t>Description</t>
  </si>
  <si>
    <t>FMSIML</t>
  </si>
  <si>
    <t>FMSFC</t>
  </si>
  <si>
    <t>FMSFR</t>
  </si>
  <si>
    <t>FMSFR-B2B</t>
  </si>
  <si>
    <t>Bolt-Down Column</t>
  </si>
  <si>
    <t>Row to Column Connector</t>
  </si>
  <si>
    <t>B2B Row to Column Con</t>
  </si>
  <si>
    <t xml:space="preserve">MM Video Wall Interface </t>
  </si>
  <si>
    <t>Horizontal Row Connector</t>
  </si>
  <si>
    <t>36" Horizontal Rail</t>
  </si>
  <si>
    <t>48" Horizontal Rail</t>
  </si>
  <si>
    <t>60" Horizontal Rail</t>
  </si>
  <si>
    <t>72" Horizontal Rail</t>
  </si>
  <si>
    <t>84" Horizontal Rail</t>
  </si>
  <si>
    <t>96" Horizontal Rail</t>
  </si>
  <si>
    <t>108" Horizontal Rail</t>
  </si>
  <si>
    <t>120" Horizontal Rail</t>
  </si>
  <si>
    <t>FCABX18</t>
  </si>
  <si>
    <t>18" column Ext</t>
  </si>
  <si>
    <t>FCABX36</t>
  </si>
  <si>
    <t>36" column Ext</t>
  </si>
  <si>
    <t>Qty Used:</t>
  </si>
  <si>
    <t>Extr L (ft):</t>
  </si>
  <si>
    <t>Ext Req (ft)</t>
  </si>
  <si>
    <t>Qty needed</t>
  </si>
  <si>
    <t>in Ext Provided:</t>
  </si>
  <si>
    <t>Column Capacity</t>
  </si>
  <si>
    <t>Min # Columns Weight</t>
  </si>
  <si>
    <t>Min # Columns Span</t>
  </si>
  <si>
    <t>Min Rail Width</t>
  </si>
  <si>
    <t>Video Wall Interface Potrait Adapter</t>
  </si>
  <si>
    <t>FMSECAP</t>
  </si>
  <si>
    <t>Horizontal Rail Endcaps</t>
  </si>
  <si>
    <t>Landscape</t>
  </si>
  <si>
    <t>Portrait</t>
  </si>
  <si>
    <t>Required Components</t>
  </si>
  <si>
    <t>Remainder @ QN (ft)</t>
  </si>
  <si>
    <t>Actual Remainder</t>
  </si>
  <si>
    <t>Model</t>
  </si>
  <si>
    <t>Size</t>
  </si>
  <si>
    <t>NEC</t>
  </si>
  <si>
    <t>UN492VS</t>
  </si>
  <si>
    <t>UN492S</t>
  </si>
  <si>
    <t>UN462A</t>
  </si>
  <si>
    <t>Samsung</t>
  </si>
  <si>
    <t>UM46N-E</t>
  </si>
  <si>
    <t>UD46E-B</t>
  </si>
  <si>
    <t>UH46F5</t>
  </si>
  <si>
    <t>UH55F-E</t>
  </si>
  <si>
    <t>UD55E-B</t>
  </si>
  <si>
    <t>Combination</t>
  </si>
  <si>
    <t>FMSIML-P</t>
  </si>
  <si>
    <t>Min Extr length selected</t>
  </si>
  <si>
    <t>ft</t>
  </si>
  <si>
    <t>lbs</t>
  </si>
  <si>
    <t>in</t>
  </si>
  <si>
    <t>Planar</t>
  </si>
  <si>
    <t>VM55LX-U</t>
  </si>
  <si>
    <t>Min # Columns FR Cap</t>
  </si>
  <si>
    <r>
      <t>FMS</t>
    </r>
    <r>
      <rPr>
        <b/>
        <sz val="11"/>
        <color theme="1"/>
        <rFont val="Calibri"/>
        <family val="2"/>
        <scheme val="minor"/>
      </rPr>
      <t>FR</t>
    </r>
    <r>
      <rPr>
        <sz val="11"/>
        <color theme="1"/>
        <rFont val="Calibri"/>
        <family val="2"/>
        <scheme val="minor"/>
      </rPr>
      <t xml:space="preserve"> Capacity</t>
    </r>
  </si>
  <si>
    <t>Manufacturer</t>
  </si>
  <si>
    <t>Select # Displays Wide</t>
  </si>
  <si>
    <t>Select # Displays Tall</t>
  </si>
  <si>
    <t>Select Column Extender</t>
  </si>
  <si>
    <t>Select Single Sided or Double Sided</t>
  </si>
  <si>
    <t>Select Portrait or Landscape
Instalation</t>
  </si>
  <si>
    <t>Select Display Model</t>
  </si>
  <si>
    <t>Setup Inputs Here</t>
  </si>
  <si>
    <t>36in Extender</t>
  </si>
  <si>
    <t>Enter New
Model Info Here</t>
  </si>
  <si>
    <t>LBM Modular Configurator</t>
  </si>
  <si>
    <t>* If your model is not listed you can enter it on the next tab.</t>
  </si>
  <si>
    <t>Single Sided</t>
  </si>
  <si>
    <t>UN462VA</t>
  </si>
  <si>
    <t>UN552VS</t>
  </si>
  <si>
    <t>UN552</t>
  </si>
  <si>
    <t>UN552S</t>
  </si>
  <si>
    <t>UN552V</t>
  </si>
  <si>
    <t>X555UNV</t>
  </si>
  <si>
    <t>Calculated Dimensions</t>
  </si>
  <si>
    <t>*Calculations based off centered Vesa patterns</t>
  </si>
  <si>
    <t>Vesa Width</t>
  </si>
  <si>
    <t>Width based Rail (ft)</t>
  </si>
  <si>
    <t>Weight (lbs.)</t>
  </si>
  <si>
    <t>Width (in)</t>
  </si>
  <si>
    <t>Height (in)</t>
  </si>
  <si>
    <t>Critical Lengths</t>
  </si>
  <si>
    <t>Vesa Mounting Height (mm)</t>
  </si>
  <si>
    <t>Vesa Mounting Width(mm)</t>
  </si>
  <si>
    <t>Notice!</t>
  </si>
  <si>
    <t>Screw Size (mm)</t>
  </si>
  <si>
    <t>Screw is M6 or M8</t>
  </si>
  <si>
    <t>Screws Included</t>
  </si>
  <si>
    <t>Maximum weight capacity of 125 lbs. (56.6 kg) per interface set.
Display interfaces support up to M8 screws and only include M6 and M8 hardware in the kit.</t>
  </si>
  <si>
    <t>Display Weight</t>
  </si>
  <si>
    <t>VESA Mounting Screw Size</t>
  </si>
  <si>
    <t>Wall Width</t>
  </si>
  <si>
    <t>Top Height (Max)</t>
  </si>
  <si>
    <t>Bottom Height (Max)</t>
  </si>
  <si>
    <t>Top Row Center Height (Max)</t>
  </si>
  <si>
    <t>Height of Displays</t>
  </si>
  <si>
    <t>Rail Length</t>
  </si>
  <si>
    <t>Total Display Weight</t>
  </si>
  <si>
    <t>Desired Display Gap</t>
  </si>
  <si>
    <t>NEC - UN552VS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</si>
</sst>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??#.0&quot; in&quot;"/>
    <numFmt numFmtId="166" formatCode="General&quot; mm&quot;"/>
    <numFmt numFmtId="167" formatCode="0.0&quot; lbs.&quot;"/>
    <numFmt numFmtId="168" formatCode="0&quot; mm&quot;"/>
    <numFmt numFmtId="169" formatCode="?,??0.0&quot; in&quot;"/>
    <numFmt numFmtId="170" formatCode="?,??0.0&quot; lbs.&quot;"/>
    <numFmt numFmtId="171" formatCode="?,??0.0&quot; kg&quot;"/>
    <numFmt numFmtId="172" formatCode="0.000&quot; in&quot;"/>
    <numFmt numFmtId="173" formatCode="?,??0.0&quot; cm&quot;"/>
    <numFmt numFmtId="174" formatCode="?,??0.0&quot; cm&quot;;\ ??\-##0.0&quot; cm&quot;"/>
    <numFmt numFmtId="175" formatCode="?,??0.0&quot; in&quot;;??\-##0.0&quot; in&quot;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9D9D9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7" applyNumberFormat="0" applyAlignment="0" applyProtection="0"/>
  </cellStyleXfs>
  <cellXfs count="129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3" borderId="0" xfId="0" applyFill="1"/>
    <xf numFmtId="0" fontId="0" fillId="3" borderId="0" xfId="0" applyFill="1" applyAlignment="1"/>
    <xf numFmtId="0" fontId="0" fillId="3" borderId="0" xfId="0" applyFill="1" applyBorder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/>
    <xf numFmtId="0" fontId="0" fillId="3" borderId="0" xfId="0" quotePrefix="1" applyFill="1"/>
    <xf numFmtId="0" fontId="0" fillId="3" borderId="26" xfId="0" applyFill="1" applyBorder="1"/>
    <xf numFmtId="0" fontId="0" fillId="3" borderId="28" xfId="0" applyFill="1" applyBorder="1" applyAlignment="1">
      <alignment horizontal="center"/>
    </xf>
    <xf numFmtId="0" fontId="0" fillId="3" borderId="15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6" xfId="0" applyFill="1" applyBorder="1"/>
    <xf numFmtId="0" fontId="0" fillId="0" borderId="5" xfId="0" applyFill="1" applyBorder="1"/>
    <xf numFmtId="0" fontId="0" fillId="0" borderId="0" xfId="0" applyFill="1"/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2" fontId="0" fillId="0" borderId="0" xfId="0" applyNumberFormat="1" applyFill="1"/>
    <xf numFmtId="0" fontId="0" fillId="4" borderId="3" xfId="0" applyFill="1" applyBorder="1"/>
    <xf numFmtId="0" fontId="0" fillId="4" borderId="4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/>
    <xf numFmtId="0" fontId="0" fillId="0" borderId="7" xfId="0" applyFill="1" applyBorder="1"/>
    <xf numFmtId="0" fontId="2" fillId="4" borderId="18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164" fontId="0" fillId="0" borderId="0" xfId="0" applyNumberFormat="1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6" borderId="4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4" fillId="3" borderId="42" xfId="0" applyFont="1" applyFill="1" applyBorder="1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3" borderId="51" xfId="0" applyFill="1" applyBorder="1"/>
    <xf numFmtId="164" fontId="0" fillId="0" borderId="51" xfId="0" applyNumberFormat="1" applyFill="1" applyBorder="1"/>
    <xf numFmtId="0" fontId="0" fillId="4" borderId="2" xfId="0" applyFill="1" applyBorder="1"/>
    <xf numFmtId="165" fontId="1" fillId="0" borderId="4" xfId="1" applyNumberFormat="1" applyFill="1" applyBorder="1" applyAlignment="1">
      <alignment horizontal="center"/>
    </xf>
    <xf numFmtId="165" fontId="1" fillId="0" borderId="6" xfId="1" applyNumberFormat="1" applyFill="1" applyBorder="1" applyAlignment="1">
      <alignment horizontal="center"/>
    </xf>
    <xf numFmtId="166" fontId="1" fillId="0" borderId="6" xfId="1" applyNumberFormat="1" applyFill="1" applyBorder="1" applyAlignment="1">
      <alignment horizontal="center"/>
    </xf>
    <xf numFmtId="167" fontId="1" fillId="0" borderId="6" xfId="1" applyNumberFormat="1" applyFill="1" applyBorder="1" applyAlignment="1">
      <alignment horizontal="center"/>
    </xf>
    <xf numFmtId="168" fontId="1" fillId="0" borderId="8" xfId="1" applyNumberFormat="1" applyFill="1" applyBorder="1" applyAlignment="1">
      <alignment horizontal="center"/>
    </xf>
    <xf numFmtId="171" fontId="1" fillId="0" borderId="8" xfId="1" applyNumberFormat="1" applyFill="1" applyBorder="1" applyAlignment="1">
      <alignment horizontal="left"/>
    </xf>
    <xf numFmtId="172" fontId="1" fillId="5" borderId="6" xfId="1" applyNumberFormat="1" applyFill="1" applyBorder="1" applyAlignment="1">
      <alignment horizontal="center"/>
    </xf>
    <xf numFmtId="173" fontId="1" fillId="0" borderId="25" xfId="1" applyNumberFormat="1" applyFill="1" applyBorder="1" applyAlignment="1">
      <alignment horizontal="left"/>
    </xf>
    <xf numFmtId="0" fontId="0" fillId="0" borderId="43" xfId="0" applyFill="1" applyBorder="1"/>
    <xf numFmtId="0" fontId="0" fillId="0" borderId="27" xfId="0" applyFill="1" applyBorder="1"/>
    <xf numFmtId="0" fontId="0" fillId="0" borderId="27" xfId="0" applyBorder="1"/>
    <xf numFmtId="0" fontId="0" fillId="0" borderId="28" xfId="0" applyBorder="1"/>
    <xf numFmtId="169" fontId="1" fillId="0" borderId="12" xfId="1" applyNumberFormat="1" applyFill="1" applyBorder="1" applyAlignment="1">
      <alignment horizontal="left"/>
    </xf>
    <xf numFmtId="169" fontId="1" fillId="0" borderId="53" xfId="1" applyNumberFormat="1" applyFill="1" applyBorder="1" applyAlignment="1">
      <alignment horizontal="left"/>
    </xf>
    <xf numFmtId="169" fontId="1" fillId="0" borderId="54" xfId="1" applyNumberFormat="1" applyFill="1" applyBorder="1" applyAlignment="1">
      <alignment horizontal="left"/>
    </xf>
    <xf numFmtId="170" fontId="1" fillId="0" borderId="13" xfId="1" applyNumberFormat="1" applyFill="1" applyBorder="1" applyAlignment="1">
      <alignment horizontal="left"/>
    </xf>
    <xf numFmtId="174" fontId="1" fillId="0" borderId="25" xfId="1" applyNumberFormat="1" applyFill="1" applyBorder="1" applyAlignment="1">
      <alignment horizontal="left"/>
    </xf>
    <xf numFmtId="175" fontId="1" fillId="0" borderId="53" xfId="1" applyNumberFormat="1" applyFill="1" applyBorder="1" applyAlignment="1">
      <alignment horizontal="left"/>
    </xf>
    <xf numFmtId="0" fontId="0" fillId="0" borderId="0" xfId="0" applyFill="1" applyBorder="1" applyAlignment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7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39" xfId="0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" fillId="5" borderId="6" xfId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8" xfId="0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3" borderId="47" xfId="0" applyFill="1" applyBorder="1" applyAlignment="1">
      <alignment horizontal="left" vertical="top" wrapText="1"/>
    </xf>
    <xf numFmtId="0" fontId="0" fillId="4" borderId="41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</cellXfs>
  <cellStyles count="2">
    <cellStyle name="Input" xfId="1" builtinId="20"/>
    <cellStyle name="Normal" xfId="0" builtinId="0"/>
  </cellStyles>
  <dxfs count="9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505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5050"/>
      <color rgb="FFCC0000"/>
      <color rgb="FFFFB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466726</xdr:colOff>
      <xdr:row>15</xdr:row>
      <xdr:rowOff>44269</xdr:rowOff>
    </xdr:from>
    <xdr:to>
      <xdr:col>10</xdr:col>
      <xdr:colOff>1247776</xdr:colOff>
      <xdr:row>42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480"/>
        <a:stretch/>
      </xdr:blipFill>
      <xdr:spPr>
        <a:xfrm>
          <a:off x="8401051" y="2939869"/>
          <a:ext cx="4876800" cy="326090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2</xdr:col>
      <xdr:colOff>247651</xdr:colOff>
      <xdr:row>109</xdr:row>
      <xdr:rowOff>190503</xdr:rowOff>
    </xdr:from>
    <xdr:to>
      <xdr:col>4</xdr:col>
      <xdr:colOff>523876</xdr:colOff>
      <xdr:row>109</xdr:row>
      <xdr:rowOff>3535405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1" y="20840703"/>
          <a:ext cx="3105150" cy="33449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81643</xdr:colOff>
          <xdr:row>4</xdr:row>
          <xdr:rowOff>19050</xdr:rowOff>
        </xdr:from>
        <xdr:to>
          <xdr:col>5</xdr:col>
          <xdr:colOff>2777218</xdr:colOff>
          <xdr:row>16</xdr:row>
          <xdr:rowOff>0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DispPic" spid="_x0000_s564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434568" y="733425"/>
              <a:ext cx="3343275" cy="2362200"/>
            </a:xfrm>
            <a:prstGeom prst="rect">
              <a:avLst/>
            </a:prstGeom>
          </xdr:spPr>
        </xdr:pic>
        <xdr:clientData fLocksWithSheet="0"/>
      </xdr:twoCellAnchor>
    </mc:Choice>
    <mc:Fallback/>
  </mc:AlternateContent>
  <xdr:twoCellAnchor editAs="oneCell">
    <xdr:from>
      <xdr:col>1</xdr:col>
      <xdr:colOff>13607</xdr:colOff>
      <xdr:row>0</xdr:row>
      <xdr:rowOff>40822</xdr:rowOff>
    </xdr:from>
    <xdr:to>
      <xdr:col>2</xdr:col>
      <xdr:colOff>695778</xdr:colOff>
      <xdr:row>3</xdr:row>
      <xdr:rowOff>22044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0E0AB7-43AE-4423-9070-B90D81A71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928" y="40822"/>
          <a:ext cx="1729921" cy="362222"/>
        </a:xfrm>
        <a:prstGeom prst="rect">
          <a:avLst/>
        </a:prstGeom>
      </xdr:spPr>
    </xdr:pic>
    <xdr:clientData/>
  </xdr:twoCellAnchor>
  <xdr:twoCellAnchor>
    <xdr:from>
      <xdr:col>2</xdr:col>
      <xdr:colOff>70756</xdr:colOff>
      <xdr:row>108</xdr:row>
      <xdr:rowOff>185057</xdr:rowOff>
    </xdr:from>
    <xdr:to>
      <xdr:col>4</xdr:col>
      <xdr:colOff>614284</xdr:colOff>
      <xdr:row>108</xdr:row>
      <xdr:rowOff>2349832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C104251-D697-45E2-A63C-902A1F99D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28106" y="18473057"/>
          <a:ext cx="3372453" cy="2164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16</xdr:row>
      <xdr:rowOff>47625</xdr:rowOff>
    </xdr:from>
    <xdr:to>
      <xdr:col>0</xdr:col>
      <xdr:colOff>1323975</xdr:colOff>
      <xdr:row>16</xdr:row>
      <xdr:rowOff>190500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C46599A7-F27D-4376-8DCD-10792866861B}"/>
            </a:ext>
          </a:extLst>
        </xdr:cNvPr>
        <xdr:cNvSpPr/>
      </xdr:nvSpPr>
      <xdr:spPr>
        <a:xfrm>
          <a:off x="1133475" y="3295650"/>
          <a:ext cx="190500" cy="142875"/>
        </a:xfrm>
        <a:prstGeom prst="rightArrow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1</xdr:row>
          <xdr:rowOff>180974</xdr:rowOff>
        </xdr:from>
        <xdr:to>
          <xdr:col>19</xdr:col>
          <xdr:colOff>152400</xdr:colOff>
          <xdr:row>17</xdr:row>
          <xdr:rowOff>197910</xdr:rowOff>
        </xdr:to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B06D20C1-6A19-415E-82D8-4E77BBB231AD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DispPic" spid="_x0000_s628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982075" y="561974"/>
              <a:ext cx="4552950" cy="3093511"/>
            </a:xfrm>
            <a:prstGeom prst="rect">
              <a:avLst/>
            </a:prstGeom>
          </xdr:spPr>
        </xdr:pic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3A5B-5F34-436A-AE91-72297B0059C9}">
  <sheetPr codeName="Sheet13"/>
  <dimension ref="A1:X111"/>
  <sheetViews>
    <sheetView showGridLines="0" tabSelected="1" zoomScaleNormal="100" workbookViewId="0">
      <pane ySplit="4" topLeftCell="A5" activePane="bottomLeft" state="frozen"/>
      <selection pane="bottomLeft" activeCell="F21" sqref="F21"/>
    </sheetView>
  </sheetViews>
  <sheetFormatPr defaultColWidth="9.140625" defaultRowHeight="15" x14ac:dyDescent="0.25"/>
  <cols>
    <col min="1" max="1" width="9.140625" style="24" customWidth="1"/>
    <col min="2" max="2" width="15.7109375" style="24" customWidth="1"/>
    <col min="3" max="3" width="18.140625" style="24" customWidth="1"/>
    <col min="4" max="4" width="22.28515625" style="24" customWidth="1"/>
    <col min="5" max="5" width="9.7109375" style="24" customWidth="1"/>
    <col min="6" max="6" width="42" style="24" customWidth="1"/>
    <col min="7" max="7" width="11.28515625" style="24" customWidth="1"/>
    <col min="8" max="8" width="27.42578125" style="24" bestFit="1" customWidth="1"/>
    <col min="9" max="9" width="11" style="24" customWidth="1"/>
    <col min="10" max="10" width="11.7109375" style="24" bestFit="1" customWidth="1"/>
    <col min="11" max="11" width="27.28515625" style="24" customWidth="1"/>
    <col min="12" max="12" width="22.140625" style="24" hidden="1" customWidth="1"/>
    <col min="13" max="13" width="7.28515625" style="24" hidden="1" customWidth="1"/>
    <col min="14" max="19" width="5.7109375" style="24" hidden="1" customWidth="1"/>
    <col min="20" max="20" width="5" style="24" hidden="1" customWidth="1"/>
    <col min="21" max="21" width="3.42578125" style="24" hidden="1" customWidth="1"/>
    <col min="22" max="22" width="9.140625" style="24" hidden="1" customWidth="1"/>
    <col min="23" max="23" width="5" style="24" customWidth="1"/>
    <col min="24" max="24" width="51.42578125" style="24" customWidth="1"/>
    <col min="25" max="25" width="6.42578125" style="24" customWidth="1"/>
    <col min="26" max="16384" width="9.140625" style="24"/>
  </cols>
  <sheetData>
    <row r="1" spans="1:2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24" ht="7.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4" ht="7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4" ht="26.25" customHeight="1" x14ac:dyDescent="0.25">
      <c r="A4" s="10"/>
      <c r="B4" s="110" t="s">
        <v>82</v>
      </c>
      <c r="C4" s="110"/>
      <c r="D4" s="110"/>
      <c r="E4" s="10"/>
      <c r="F4" s="10"/>
      <c r="G4" s="10"/>
      <c r="H4" s="10"/>
      <c r="I4" s="10"/>
      <c r="J4" s="10"/>
      <c r="K4" s="10"/>
      <c r="L4" s="10"/>
    </row>
    <row r="5" spans="1:24" ht="15.7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24" ht="15.75" thickBot="1" x14ac:dyDescent="0.3">
      <c r="A6" s="10"/>
      <c r="B6" s="111" t="s">
        <v>79</v>
      </c>
      <c r="C6" s="112"/>
      <c r="D6" s="113"/>
      <c r="E6" s="10"/>
      <c r="F6" s="10"/>
      <c r="G6" s="10"/>
      <c r="H6" s="97" t="s">
        <v>91</v>
      </c>
      <c r="I6" s="98"/>
      <c r="J6" s="99"/>
      <c r="K6" s="10"/>
      <c r="L6" s="16"/>
      <c r="V6" s="94" t="s">
        <v>98</v>
      </c>
    </row>
    <row r="7" spans="1:24" ht="15.75" thickBot="1" x14ac:dyDescent="0.3">
      <c r="A7" s="10"/>
      <c r="B7" s="115" t="s">
        <v>73</v>
      </c>
      <c r="C7" s="116"/>
      <c r="D7" s="52">
        <v>2</v>
      </c>
      <c r="E7" s="10"/>
      <c r="F7" s="10"/>
      <c r="G7" s="10"/>
      <c r="H7" s="78" t="s">
        <v>108</v>
      </c>
      <c r="I7" s="82">
        <f>D7*IF(D11="Landscape", DW, DH)+(D7-1)*D13</f>
        <v>95.440000000000012</v>
      </c>
      <c r="J7" s="77">
        <f>I7*2.54</f>
        <v>242.41760000000002</v>
      </c>
      <c r="K7" s="10"/>
      <c r="L7" s="17" t="s">
        <v>35</v>
      </c>
      <c r="M7" s="89" t="s">
        <v>49</v>
      </c>
      <c r="N7" s="90"/>
      <c r="O7" s="90"/>
      <c r="P7" s="90"/>
      <c r="Q7" s="90"/>
      <c r="R7" s="90"/>
      <c r="S7" s="90"/>
      <c r="T7" s="91"/>
      <c r="V7" s="94"/>
    </row>
    <row r="8" spans="1:24" ht="15.75" thickBot="1" x14ac:dyDescent="0.3">
      <c r="A8" s="10"/>
      <c r="B8" s="117" t="s">
        <v>74</v>
      </c>
      <c r="C8" s="118"/>
      <c r="D8" s="53">
        <v>2</v>
      </c>
      <c r="E8" s="10"/>
      <c r="F8" s="10"/>
      <c r="G8" s="10"/>
      <c r="H8" s="79" t="s">
        <v>109</v>
      </c>
      <c r="I8" s="83">
        <f>CRH+IF(D11="Landscape", DH, DW)/2</f>
        <v>113.9</v>
      </c>
      <c r="J8" s="77">
        <f t="shared" ref="J8:J12" si="0">I8*2.54</f>
        <v>289.30600000000004</v>
      </c>
      <c r="K8" s="10"/>
      <c r="L8" s="18">
        <f>IF(M26=0, M27, ROUNDUP(M22/12,0))</f>
        <v>6</v>
      </c>
      <c r="M8" s="25">
        <f>L8-M12*M9</f>
        <v>6</v>
      </c>
      <c r="N8" s="26">
        <f t="shared" ref="N8:T8" si="1">M8-N12*N9</f>
        <v>6</v>
      </c>
      <c r="O8" s="26">
        <f t="shared" si="1"/>
        <v>6</v>
      </c>
      <c r="P8" s="26">
        <f t="shared" si="1"/>
        <v>6</v>
      </c>
      <c r="Q8" s="26">
        <f t="shared" si="1"/>
        <v>0</v>
      </c>
      <c r="R8" s="26">
        <f t="shared" si="1"/>
        <v>0</v>
      </c>
      <c r="S8" s="26">
        <f t="shared" si="1"/>
        <v>0</v>
      </c>
      <c r="T8" s="27">
        <f t="shared" si="1"/>
        <v>0</v>
      </c>
      <c r="V8" s="2">
        <v>20</v>
      </c>
      <c r="W8" s="28"/>
      <c r="X8" s="29"/>
    </row>
    <row r="9" spans="1:24" ht="15.75" thickBot="1" x14ac:dyDescent="0.3">
      <c r="A9" s="10"/>
      <c r="B9" s="117" t="s">
        <v>75</v>
      </c>
      <c r="C9" s="118"/>
      <c r="D9" s="53" t="s">
        <v>80</v>
      </c>
      <c r="E9" s="10"/>
      <c r="F9" s="10"/>
      <c r="G9" s="10"/>
      <c r="H9" s="79" t="s">
        <v>111</v>
      </c>
      <c r="I9" s="83">
        <f>64.5+IF(D9="No Extender", 0,IF(D9="18in Extender", 18, 36))</f>
        <v>100.5</v>
      </c>
      <c r="J9" s="77">
        <f t="shared" si="0"/>
        <v>255.27</v>
      </c>
      <c r="K9" s="10"/>
      <c r="L9" s="19" t="s">
        <v>34</v>
      </c>
      <c r="M9" s="60">
        <v>10</v>
      </c>
      <c r="N9" s="61">
        <v>9</v>
      </c>
      <c r="O9" s="61">
        <v>8</v>
      </c>
      <c r="P9" s="61">
        <v>7</v>
      </c>
      <c r="Q9" s="61">
        <v>6</v>
      </c>
      <c r="R9" s="61">
        <v>5</v>
      </c>
      <c r="S9" s="61">
        <v>4</v>
      </c>
      <c r="T9" s="62">
        <v>3</v>
      </c>
      <c r="V9" s="2">
        <v>28</v>
      </c>
      <c r="W9" s="28"/>
      <c r="X9" s="29"/>
    </row>
    <row r="10" spans="1:24" x14ac:dyDescent="0.25">
      <c r="A10" s="10"/>
      <c r="B10" s="117" t="s">
        <v>76</v>
      </c>
      <c r="C10" s="118"/>
      <c r="D10" s="53" t="s">
        <v>84</v>
      </c>
      <c r="E10" s="10"/>
      <c r="F10" s="10"/>
      <c r="G10" s="10"/>
      <c r="H10" s="79" t="s">
        <v>110</v>
      </c>
      <c r="I10" s="87">
        <f>I8-IF(D11="Landscape", DH, DW)*D8-(D8-1)*D13</f>
        <v>60.260000000000005</v>
      </c>
      <c r="J10" s="86">
        <f t="shared" si="0"/>
        <v>153.06040000000002</v>
      </c>
      <c r="K10" s="10"/>
      <c r="L10" s="20" t="s">
        <v>36</v>
      </c>
      <c r="M10" s="30">
        <f>ROUNDDOWN(L8/M9,0)</f>
        <v>0</v>
      </c>
      <c r="N10" s="31">
        <f>ROUNDDOWN(M8/N9,0)</f>
        <v>0</v>
      </c>
      <c r="O10" s="31">
        <f>ROUNDDOWN(N8/O9,0)</f>
        <v>0</v>
      </c>
      <c r="P10" s="31">
        <f t="shared" ref="P10:S10" si="2">ROUNDDOWN(O8/P9,0)</f>
        <v>0</v>
      </c>
      <c r="Q10" s="31">
        <f t="shared" si="2"/>
        <v>1</v>
      </c>
      <c r="R10" s="31">
        <f t="shared" si="2"/>
        <v>0</v>
      </c>
      <c r="S10" s="31">
        <f t="shared" si="2"/>
        <v>0</v>
      </c>
      <c r="T10" s="32">
        <f>ROUNDUP(S8/T9,0)</f>
        <v>0</v>
      </c>
      <c r="V10" s="2">
        <v>29</v>
      </c>
      <c r="W10" s="28"/>
      <c r="X10" s="29"/>
    </row>
    <row r="11" spans="1:24" ht="15.75" customHeight="1" thickBot="1" x14ac:dyDescent="0.3">
      <c r="A11" s="10"/>
      <c r="B11" s="119" t="s">
        <v>77</v>
      </c>
      <c r="C11" s="120"/>
      <c r="D11" s="114" t="s">
        <v>45</v>
      </c>
      <c r="E11" s="10"/>
      <c r="F11" s="10"/>
      <c r="G11" s="10"/>
      <c r="H11" s="79" t="s">
        <v>112</v>
      </c>
      <c r="I11" s="84">
        <f>IF(D11="Landscape", DH, DW)*D8+(D8-1)*D13</f>
        <v>53.64</v>
      </c>
      <c r="J11" s="77">
        <f t="shared" si="0"/>
        <v>136.2456</v>
      </c>
      <c r="K11" s="10"/>
      <c r="L11" s="21" t="s">
        <v>48</v>
      </c>
      <c r="M11" s="33">
        <f>L8-M9*M10</f>
        <v>6</v>
      </c>
      <c r="N11" s="34">
        <f>M8-N9*N10</f>
        <v>6</v>
      </c>
      <c r="O11" s="34">
        <f t="shared" ref="O11:S11" si="3">N8-O9*O10</f>
        <v>6</v>
      </c>
      <c r="P11" s="34">
        <f t="shared" si="3"/>
        <v>6</v>
      </c>
      <c r="Q11" s="34">
        <f t="shared" si="3"/>
        <v>0</v>
      </c>
      <c r="R11" s="34">
        <f t="shared" si="3"/>
        <v>0</v>
      </c>
      <c r="S11" s="34">
        <f t="shared" si="3"/>
        <v>0</v>
      </c>
      <c r="T11" s="35">
        <f>S8-T9*T10</f>
        <v>0</v>
      </c>
      <c r="V11" s="2">
        <v>35</v>
      </c>
      <c r="W11" s="28"/>
      <c r="X11" s="29"/>
    </row>
    <row r="12" spans="1:24" ht="15.75" thickBot="1" x14ac:dyDescent="0.3">
      <c r="A12" s="10"/>
      <c r="B12" s="121"/>
      <c r="C12" s="122"/>
      <c r="D12" s="114"/>
      <c r="E12" s="10"/>
      <c r="F12" s="10"/>
      <c r="G12" s="10"/>
      <c r="H12" s="80" t="s">
        <v>113</v>
      </c>
      <c r="I12" s="84">
        <f>L8*12</f>
        <v>72</v>
      </c>
      <c r="J12" s="77">
        <f t="shared" si="0"/>
        <v>182.88</v>
      </c>
      <c r="K12" s="10"/>
      <c r="L12" s="22" t="s">
        <v>33</v>
      </c>
      <c r="M12" s="63">
        <f>IF(ISNUMBER(MATCH(L8,V8:V13,0)), M10-1, IF(AND(0&lt;M11,M11&lt;M15), IF(M10&gt;1,M10-1, 0), M10))</f>
        <v>0</v>
      </c>
      <c r="N12" s="64">
        <f>IF(AND(L8=37,E27=5),0,IF(AND(0&lt;N11,N11&lt;M15),IF(N10&gt;1,N10-1,0),N10))</f>
        <v>0</v>
      </c>
      <c r="O12" s="36">
        <f>IF(AND(0&lt;O11,O11&lt;M15), IF(O10&gt;1,O10-1, 0), O10)</f>
        <v>0</v>
      </c>
      <c r="P12" s="36">
        <f>IF(AND(0&lt;P11,P11&lt;M15), IF(P10&gt;1,P10-1, 0), P10)</f>
        <v>0</v>
      </c>
      <c r="Q12" s="36">
        <f>IF(AND(0&lt;Q11,Q11&lt;M15), IF(Q10&gt;1,Q10-1, 0), Q10)</f>
        <v>1</v>
      </c>
      <c r="R12" s="36">
        <f>IF(AND(0&lt;R11,R11&lt;4), 0, R10)</f>
        <v>0</v>
      </c>
      <c r="S12" s="36">
        <f>IF(AND(0&lt;S11,S11&lt;3), 0, S10)</f>
        <v>0</v>
      </c>
      <c r="T12" s="37">
        <f>IF(0&lt;T11, 0, T10)</f>
        <v>0</v>
      </c>
      <c r="V12" s="2">
        <v>36</v>
      </c>
      <c r="W12" s="28"/>
      <c r="X12" s="29"/>
    </row>
    <row r="13" spans="1:24" ht="15.75" thickBot="1" x14ac:dyDescent="0.3">
      <c r="A13" s="10"/>
      <c r="B13" s="95" t="s">
        <v>115</v>
      </c>
      <c r="C13" s="96"/>
      <c r="D13" s="76">
        <v>0.04</v>
      </c>
      <c r="E13" s="10"/>
      <c r="F13" s="10"/>
      <c r="G13" s="10"/>
      <c r="H13" s="81" t="s">
        <v>114</v>
      </c>
      <c r="I13" s="85">
        <f>D21*D7*D8*IF(D10="Single Sided", 1, 2)</f>
        <v>227.6</v>
      </c>
      <c r="J13" s="75">
        <f>I13*0.453592</f>
        <v>103.2375392</v>
      </c>
      <c r="K13" s="10"/>
      <c r="L13" s="10"/>
      <c r="V13" s="38">
        <v>37</v>
      </c>
      <c r="W13" s="28"/>
      <c r="X13" s="29"/>
    </row>
    <row r="14" spans="1:24" ht="15.75" thickBot="1" x14ac:dyDescent="0.3">
      <c r="A14" s="10"/>
      <c r="B14" s="123" t="s">
        <v>78</v>
      </c>
      <c r="C14" s="124"/>
      <c r="D14" s="54" t="s">
        <v>116</v>
      </c>
      <c r="E14" s="10"/>
      <c r="F14" s="10"/>
      <c r="G14" s="10"/>
      <c r="H14" s="100" t="s">
        <v>92</v>
      </c>
      <c r="I14" s="100"/>
      <c r="J14" s="100"/>
      <c r="K14" s="10"/>
      <c r="L14" s="13" t="s">
        <v>37</v>
      </c>
      <c r="M14" s="38">
        <f>(M9*M12+N9*N12+O9*O12+P9*P12+Q9*Q12+R9*R12+S9*S12+T9*T12)*12</f>
        <v>72</v>
      </c>
      <c r="N14" s="24" t="s">
        <v>67</v>
      </c>
      <c r="W14" s="28"/>
      <c r="X14" s="29"/>
    </row>
    <row r="15" spans="1:24" x14ac:dyDescent="0.25">
      <c r="A15" s="10"/>
      <c r="B15" s="65" t="s">
        <v>83</v>
      </c>
      <c r="C15" s="65"/>
      <c r="D15" s="65"/>
      <c r="E15" s="10"/>
      <c r="F15" s="10"/>
      <c r="G15" s="10"/>
      <c r="H15" s="10"/>
      <c r="I15" s="10"/>
      <c r="J15" s="10"/>
      <c r="K15" s="10"/>
      <c r="L15" s="13" t="s">
        <v>64</v>
      </c>
      <c r="M15" s="38">
        <v>5</v>
      </c>
      <c r="N15" s="24" t="s">
        <v>65</v>
      </c>
      <c r="W15" s="28"/>
      <c r="X15" s="29"/>
    </row>
    <row r="16" spans="1:24" ht="15.75" thickBot="1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3" t="s">
        <v>38</v>
      </c>
      <c r="M16" s="38">
        <v>500</v>
      </c>
      <c r="N16" s="24" t="s">
        <v>66</v>
      </c>
      <c r="W16" s="28"/>
      <c r="X16" s="29"/>
    </row>
    <row r="17" spans="1:24" x14ac:dyDescent="0.25">
      <c r="A17" s="10"/>
      <c r="B17" s="115" t="str">
        <f>IF(D11="Landscape", "Display Width", "Display Height")</f>
        <v>Display Width</v>
      </c>
      <c r="C17" s="116"/>
      <c r="D17" s="70">
        <f>VLOOKUP($D$14,'Video Wall Display Specs'!$D$1:K36,7,FALSE)</f>
        <v>47.7</v>
      </c>
      <c r="E17" s="10"/>
      <c r="F17" s="10"/>
      <c r="G17" s="10"/>
      <c r="H17" s="10"/>
      <c r="I17" s="10"/>
      <c r="J17" s="10"/>
      <c r="K17" s="10"/>
      <c r="L17" s="13" t="s">
        <v>71</v>
      </c>
      <c r="M17" s="38">
        <v>175</v>
      </c>
      <c r="N17" s="24" t="s">
        <v>66</v>
      </c>
      <c r="W17" s="28"/>
      <c r="X17" s="29"/>
    </row>
    <row r="18" spans="1:24" x14ac:dyDescent="0.25">
      <c r="A18" s="10"/>
      <c r="B18" s="117" t="str">
        <f>IF(D11="Landscape",  "Display Height", "Display Width")</f>
        <v>Display Height</v>
      </c>
      <c r="C18" s="118"/>
      <c r="D18" s="71">
        <f>VLOOKUP($D$14,'Video Wall Display Specs'!$D$1:K36,8,FALSE)</f>
        <v>26.8</v>
      </c>
      <c r="E18" s="10"/>
      <c r="F18" s="10"/>
      <c r="G18" s="10"/>
      <c r="H18" s="10"/>
      <c r="I18" s="10"/>
      <c r="J18" s="10"/>
      <c r="K18" s="10"/>
      <c r="L18" s="13" t="s">
        <v>39</v>
      </c>
      <c r="M18" s="38">
        <f>ROUNDUP(D7*D8*IF(D10="Single Sided", 1, 2)*D21/M16, 0)</f>
        <v>1</v>
      </c>
      <c r="W18" s="28"/>
      <c r="X18" s="29"/>
    </row>
    <row r="19" spans="1:24" x14ac:dyDescent="0.25">
      <c r="A19" s="10"/>
      <c r="B19" s="117" t="str">
        <f>IF(D11="Landscape", "Vesa Mounting Width", "Vesa Mounting Height")</f>
        <v>Vesa Mounting Width</v>
      </c>
      <c r="C19" s="118"/>
      <c r="D19" s="72">
        <f>VLOOKUP($D$14,'Video Wall Display Specs'!$D$1:K36,3,FALSE)</f>
        <v>400</v>
      </c>
      <c r="E19" s="12"/>
      <c r="F19" s="10"/>
      <c r="G19" s="10"/>
      <c r="H19" s="10"/>
      <c r="I19" s="10"/>
      <c r="J19" s="10"/>
      <c r="K19" s="10"/>
      <c r="L19" s="13" t="s">
        <v>40</v>
      </c>
      <c r="M19" s="38">
        <f>ROUNDUP(ABS((I12-64))/96,0)+1</f>
        <v>2</v>
      </c>
      <c r="W19" s="28"/>
      <c r="X19" s="29"/>
    </row>
    <row r="20" spans="1:24" ht="18" customHeight="1" x14ac:dyDescent="0.25">
      <c r="A20" s="10"/>
      <c r="B20" s="117" t="str">
        <f>IF(D11="Landscape", "Vesa Mounting Height", "Vesa Mounting Width")</f>
        <v>Vesa Mounting Height</v>
      </c>
      <c r="C20" s="118"/>
      <c r="D20" s="72">
        <f>VLOOKUP($D$14,'Video Wall Display Specs'!$D$1:K36,4,FALSE)</f>
        <v>400</v>
      </c>
      <c r="E20" s="12"/>
      <c r="F20" s="10"/>
      <c r="G20" s="10"/>
      <c r="H20" s="10"/>
      <c r="I20" s="10"/>
      <c r="J20" s="10"/>
      <c r="K20" s="10"/>
      <c r="L20" s="13" t="s">
        <v>70</v>
      </c>
      <c r="M20" s="39">
        <f>ROUNDUP((D21*D7)/M17,0)</f>
        <v>1</v>
      </c>
      <c r="O20" s="40"/>
      <c r="P20" s="88"/>
      <c r="Q20" s="88"/>
      <c r="R20" s="88"/>
      <c r="S20" s="88"/>
      <c r="T20" s="88"/>
      <c r="U20" s="88"/>
      <c r="V20" s="88"/>
      <c r="W20" s="88"/>
      <c r="X20" s="29"/>
    </row>
    <row r="21" spans="1:24" ht="18" customHeight="1" x14ac:dyDescent="0.25">
      <c r="A21" s="10"/>
      <c r="B21" s="117" t="s">
        <v>106</v>
      </c>
      <c r="C21" s="118"/>
      <c r="D21" s="73">
        <f>VLOOKUP($D$14,'Video Wall Display Specs'!$D$1:K36,6,FALSE)</f>
        <v>56.9</v>
      </c>
      <c r="E21" s="12"/>
      <c r="F21" s="10"/>
      <c r="G21" s="10"/>
      <c r="H21" s="10"/>
      <c r="I21" s="10"/>
      <c r="J21" s="10"/>
      <c r="K21" s="10"/>
      <c r="L21" s="13"/>
      <c r="M21" s="39"/>
      <c r="O21" s="40"/>
      <c r="P21" s="55"/>
      <c r="Q21" s="55"/>
      <c r="R21" s="55"/>
      <c r="S21" s="55"/>
      <c r="T21" s="55"/>
      <c r="U21" s="55"/>
      <c r="V21" s="55"/>
      <c r="W21" s="55"/>
      <c r="X21" s="29"/>
    </row>
    <row r="22" spans="1:24" ht="18" customHeight="1" thickBot="1" x14ac:dyDescent="0.3">
      <c r="A22" s="10"/>
      <c r="B22" s="123" t="s">
        <v>107</v>
      </c>
      <c r="C22" s="124"/>
      <c r="D22" s="74">
        <f>VLOOKUP($D$14,'Video Wall Display Specs'!$D$1:K36,5,FALSE)</f>
        <v>6</v>
      </c>
      <c r="E22" s="10"/>
      <c r="F22" s="56"/>
      <c r="G22" s="10"/>
      <c r="H22" s="10"/>
      <c r="I22" s="10"/>
      <c r="J22" s="10"/>
      <c r="K22" s="10"/>
      <c r="L22" s="67" t="s">
        <v>41</v>
      </c>
      <c r="M22" s="68">
        <f>IF(D11="Landscape", DW, DH)*(D7-1)+IF(D11="Landscape", D19, D20)/25.4+2.75+(D7-1)*D13</f>
        <v>66.238031496063002</v>
      </c>
      <c r="N22" s="24" t="s">
        <v>67</v>
      </c>
      <c r="O22" s="43"/>
      <c r="P22" s="59"/>
      <c r="Q22" s="41"/>
      <c r="R22" s="41"/>
      <c r="S22" s="41"/>
      <c r="T22" s="41"/>
      <c r="U22" s="41"/>
      <c r="V22" s="41"/>
      <c r="W22" s="42"/>
      <c r="X22" s="29"/>
    </row>
    <row r="23" spans="1:2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3" t="s">
        <v>104</v>
      </c>
      <c r="M23" s="38">
        <v>6</v>
      </c>
      <c r="N23" s="38">
        <v>8</v>
      </c>
      <c r="O23" s="41"/>
      <c r="P23" s="41"/>
      <c r="Q23" s="41"/>
      <c r="R23" s="41"/>
      <c r="S23" s="41"/>
      <c r="T23" s="41"/>
      <c r="U23" s="41"/>
      <c r="V23" s="41"/>
      <c r="W23" s="42"/>
      <c r="X23" s="29"/>
    </row>
    <row r="24" spans="1:24" ht="15.75" thickBo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3" t="s">
        <v>103</v>
      </c>
      <c r="M24" s="38" t="b">
        <f>ISNUMBER(MATCH(D22,M23:N23,0))</f>
        <v>1</v>
      </c>
      <c r="O24" s="41"/>
      <c r="P24" s="41"/>
      <c r="Q24" s="41"/>
      <c r="R24" s="41"/>
      <c r="S24" s="41"/>
      <c r="T24" s="41"/>
      <c r="U24" s="41"/>
      <c r="V24" s="41"/>
      <c r="W24" s="42"/>
      <c r="X24" s="29"/>
    </row>
    <row r="25" spans="1:24" ht="15.75" thickBot="1" x14ac:dyDescent="0.3">
      <c r="A25" s="10"/>
      <c r="B25" s="97" t="s">
        <v>47</v>
      </c>
      <c r="C25" s="98"/>
      <c r="D25" s="98"/>
      <c r="E25" s="99"/>
      <c r="F25" s="10"/>
      <c r="G25" s="10"/>
      <c r="H25" s="10"/>
      <c r="I25" s="10"/>
      <c r="J25" s="10"/>
      <c r="K25" s="10"/>
      <c r="L25" s="10"/>
      <c r="O25" s="41"/>
      <c r="P25" s="41"/>
      <c r="Q25" s="41"/>
      <c r="R25" s="41"/>
      <c r="S25" s="41"/>
      <c r="T25" s="41"/>
      <c r="U25" s="41"/>
      <c r="V25" s="41"/>
      <c r="W25" s="42"/>
      <c r="X25" s="29"/>
    </row>
    <row r="26" spans="1:24" ht="15.75" thickBot="1" x14ac:dyDescent="0.3">
      <c r="A26" s="10"/>
      <c r="B26" s="50" t="s">
        <v>0</v>
      </c>
      <c r="C26" s="102" t="s">
        <v>11</v>
      </c>
      <c r="D26" s="103"/>
      <c r="E26" s="51" t="s">
        <v>1</v>
      </c>
      <c r="F26" s="14"/>
      <c r="G26" s="10"/>
      <c r="H26" s="10"/>
      <c r="I26" s="10"/>
      <c r="J26" s="10"/>
      <c r="K26" s="10"/>
      <c r="L26" s="10" t="s">
        <v>93</v>
      </c>
      <c r="M26" s="58">
        <f>_xlfn.NUMBERVALUE(IF(D11="Landscape", D19,D20))</f>
        <v>400</v>
      </c>
      <c r="O26" s="41"/>
      <c r="P26" s="41"/>
      <c r="Q26" s="41"/>
      <c r="R26" s="41"/>
      <c r="S26" s="41"/>
      <c r="T26" s="41"/>
      <c r="U26" s="41"/>
      <c r="V26" s="41"/>
      <c r="W26" s="41"/>
    </row>
    <row r="27" spans="1:24" x14ac:dyDescent="0.25">
      <c r="A27" s="10"/>
      <c r="B27" s="5" t="s">
        <v>13</v>
      </c>
      <c r="C27" s="104" t="s">
        <v>16</v>
      </c>
      <c r="D27" s="105"/>
      <c r="E27" s="6">
        <f>IF(I10&lt;0, 0,MAX(M18:M20))</f>
        <v>2</v>
      </c>
      <c r="F27" s="125"/>
      <c r="G27" s="10"/>
      <c r="H27" s="10"/>
      <c r="I27" s="10"/>
      <c r="J27" s="10"/>
      <c r="K27" s="10"/>
      <c r="L27" s="10" t="s">
        <v>94</v>
      </c>
      <c r="M27" s="57">
        <f>ROUNDDOWN(I7/12,0)</f>
        <v>7</v>
      </c>
      <c r="O27" s="41"/>
      <c r="P27" s="41"/>
      <c r="Q27" s="41"/>
      <c r="R27" s="41"/>
      <c r="S27" s="41"/>
      <c r="T27" s="41"/>
      <c r="U27" s="41"/>
      <c r="V27" s="41"/>
      <c r="W27" s="41"/>
    </row>
    <row r="28" spans="1:24" x14ac:dyDescent="0.25">
      <c r="A28" s="10"/>
      <c r="B28" s="1" t="s">
        <v>14</v>
      </c>
      <c r="C28" s="92" t="s">
        <v>17</v>
      </c>
      <c r="D28" s="93"/>
      <c r="E28" s="7">
        <f>IF(I10&lt;0, 0,IF(D10="Single Sided", E27*D8, 0))</f>
        <v>4</v>
      </c>
      <c r="F28" s="125"/>
      <c r="G28" s="10"/>
      <c r="H28" s="10"/>
      <c r="I28" s="10"/>
      <c r="J28" s="10"/>
      <c r="K28" s="10"/>
      <c r="L28" s="10"/>
      <c r="O28" s="41"/>
      <c r="P28" s="41"/>
      <c r="Q28" s="41"/>
      <c r="R28" s="41"/>
      <c r="S28" s="41"/>
      <c r="T28" s="41"/>
      <c r="U28" s="41"/>
      <c r="V28" s="41"/>
      <c r="W28" s="41"/>
    </row>
    <row r="29" spans="1:24" hidden="1" x14ac:dyDescent="0.25">
      <c r="A29" s="10"/>
      <c r="B29" s="1" t="s">
        <v>15</v>
      </c>
      <c r="C29" s="92" t="s">
        <v>18</v>
      </c>
      <c r="D29" s="93"/>
      <c r="E29" s="7">
        <f>IF(D10="Single Sided", 0, E27*D8)</f>
        <v>0</v>
      </c>
      <c r="F29" s="14"/>
      <c r="G29" s="10"/>
      <c r="H29" s="10"/>
      <c r="I29" s="10"/>
      <c r="J29" s="10"/>
      <c r="K29" s="10"/>
      <c r="L29" s="10"/>
      <c r="O29" s="41"/>
      <c r="P29" s="41"/>
      <c r="Q29" s="41"/>
      <c r="R29" s="41"/>
      <c r="S29" s="41"/>
      <c r="T29" s="41"/>
      <c r="U29" s="41"/>
      <c r="V29" s="41"/>
      <c r="W29" s="41"/>
    </row>
    <row r="30" spans="1:24" x14ac:dyDescent="0.25">
      <c r="A30" s="10"/>
      <c r="B30" s="1" t="s">
        <v>12</v>
      </c>
      <c r="C30" s="92" t="s">
        <v>19</v>
      </c>
      <c r="D30" s="93"/>
      <c r="E30" s="7">
        <f>IF(I10&lt;0, 0,D7*D8*IF(D10="Single Sided", 1, 2))</f>
        <v>4</v>
      </c>
      <c r="F30" s="14"/>
      <c r="G30" s="10"/>
      <c r="H30" s="10"/>
      <c r="I30" s="10"/>
      <c r="J30" s="10"/>
      <c r="K30" s="10"/>
      <c r="L30" s="10"/>
      <c r="O30" s="41"/>
      <c r="P30" s="41"/>
      <c r="Q30" s="41"/>
      <c r="R30" s="41"/>
      <c r="S30" s="41"/>
      <c r="T30" s="41"/>
      <c r="U30" s="41"/>
      <c r="V30" s="41"/>
      <c r="W30" s="41"/>
    </row>
    <row r="31" spans="1:24" hidden="1" x14ac:dyDescent="0.25">
      <c r="A31" s="10"/>
      <c r="B31" s="1" t="s">
        <v>63</v>
      </c>
      <c r="C31" s="92" t="s">
        <v>42</v>
      </c>
      <c r="D31" s="93"/>
      <c r="E31" s="7">
        <f>IF(AND(D19&gt;400,D11="Portrait"),E30,0)</f>
        <v>0</v>
      </c>
      <c r="F31" s="14"/>
      <c r="G31" s="10"/>
      <c r="H31" s="10"/>
      <c r="I31" s="10"/>
      <c r="J31" s="10"/>
      <c r="K31" s="10"/>
      <c r="L31" s="10"/>
      <c r="O31" s="41"/>
      <c r="P31" s="41"/>
      <c r="Q31" s="41"/>
      <c r="R31" s="41"/>
      <c r="S31" s="41"/>
      <c r="T31" s="41"/>
      <c r="U31" s="41"/>
      <c r="V31" s="41"/>
      <c r="W31" s="41"/>
    </row>
    <row r="32" spans="1:24" hidden="1" x14ac:dyDescent="0.25">
      <c r="A32" s="10"/>
      <c r="B32" s="1" t="s">
        <v>10</v>
      </c>
      <c r="C32" s="92" t="s">
        <v>20</v>
      </c>
      <c r="D32" s="93"/>
      <c r="E32" s="7">
        <f>IF(I10&lt;0, 0,(SUM(M12:T12)-1)*D8)</f>
        <v>0</v>
      </c>
      <c r="F32" s="14"/>
      <c r="G32" s="10"/>
      <c r="H32" s="10"/>
      <c r="I32" s="10"/>
      <c r="J32" s="10"/>
      <c r="K32" s="10"/>
      <c r="L32" s="10"/>
      <c r="O32" s="41"/>
      <c r="P32" s="41"/>
      <c r="Q32" s="41"/>
      <c r="R32" s="41"/>
      <c r="S32" s="41"/>
      <c r="T32" s="41"/>
      <c r="U32" s="41"/>
      <c r="V32" s="41"/>
      <c r="W32" s="41"/>
    </row>
    <row r="33" spans="1:23" x14ac:dyDescent="0.25">
      <c r="A33" s="10"/>
      <c r="B33" s="1" t="s">
        <v>43</v>
      </c>
      <c r="C33" s="92" t="s">
        <v>44</v>
      </c>
      <c r="D33" s="93"/>
      <c r="E33" s="7">
        <f>IF(I10&lt;0, 0,IF(I10&lt;0, "Error",D8))</f>
        <v>2</v>
      </c>
      <c r="F33" s="14"/>
      <c r="G33" s="10"/>
      <c r="H33" s="10"/>
      <c r="I33" s="10"/>
      <c r="J33" s="10"/>
      <c r="K33" s="10"/>
      <c r="L33" s="10"/>
      <c r="O33" s="41"/>
      <c r="P33" s="41"/>
      <c r="Q33" s="41"/>
      <c r="R33" s="41"/>
      <c r="S33" s="41"/>
      <c r="T33" s="41"/>
      <c r="U33" s="41"/>
      <c r="V33" s="41"/>
      <c r="W33" s="41"/>
    </row>
    <row r="34" spans="1:23" hidden="1" x14ac:dyDescent="0.25">
      <c r="A34" s="10"/>
      <c r="B34" s="1" t="s">
        <v>2</v>
      </c>
      <c r="C34" s="92" t="s">
        <v>21</v>
      </c>
      <c r="D34" s="93"/>
      <c r="E34" s="7">
        <f>IF(I10&lt;0, 0,T12*D8)</f>
        <v>0</v>
      </c>
      <c r="F34" s="14"/>
      <c r="G34" s="10"/>
      <c r="H34" s="10"/>
      <c r="I34" s="10"/>
      <c r="J34" s="10"/>
      <c r="K34" s="10"/>
      <c r="L34" s="10"/>
      <c r="O34" s="41"/>
      <c r="P34" s="41"/>
      <c r="Q34" s="41"/>
      <c r="R34" s="41"/>
      <c r="S34" s="41"/>
      <c r="T34" s="41"/>
      <c r="U34" s="41"/>
      <c r="V34" s="41"/>
      <c r="W34" s="41"/>
    </row>
    <row r="35" spans="1:23" hidden="1" x14ac:dyDescent="0.25">
      <c r="A35" s="10"/>
      <c r="B35" s="1" t="s">
        <v>7</v>
      </c>
      <c r="C35" s="92" t="s">
        <v>22</v>
      </c>
      <c r="D35" s="93"/>
      <c r="E35" s="7">
        <f>IF(I10&lt;0, 0,S12*D8)</f>
        <v>0</v>
      </c>
      <c r="F35" s="14"/>
      <c r="G35" s="10"/>
      <c r="H35" s="10"/>
      <c r="I35" s="10"/>
      <c r="J35" s="10"/>
      <c r="K35" s="10"/>
      <c r="L35" s="10"/>
      <c r="O35" s="41"/>
      <c r="P35" s="41"/>
      <c r="Q35" s="41"/>
      <c r="R35" s="41"/>
      <c r="S35" s="41"/>
      <c r="T35" s="41"/>
      <c r="U35" s="41"/>
      <c r="V35" s="41"/>
      <c r="W35" s="41"/>
    </row>
    <row r="36" spans="1:23" hidden="1" x14ac:dyDescent="0.25">
      <c r="A36" s="10"/>
      <c r="B36" s="1" t="s">
        <v>6</v>
      </c>
      <c r="C36" s="92" t="s">
        <v>23</v>
      </c>
      <c r="D36" s="93"/>
      <c r="E36" s="7">
        <f>IF(I10&lt;0,0,R12*D8)</f>
        <v>0</v>
      </c>
      <c r="F36" s="14"/>
      <c r="G36" s="10"/>
      <c r="H36" s="10"/>
      <c r="I36" s="10"/>
      <c r="J36" s="10"/>
      <c r="K36" s="10"/>
      <c r="L36" s="10"/>
      <c r="O36" s="41"/>
      <c r="P36" s="41"/>
      <c r="Q36" s="41"/>
      <c r="R36" s="41"/>
      <c r="S36" s="41"/>
      <c r="T36" s="41"/>
      <c r="U36" s="41"/>
      <c r="V36" s="41"/>
      <c r="W36" s="41"/>
    </row>
    <row r="37" spans="1:23" x14ac:dyDescent="0.25">
      <c r="A37" s="10"/>
      <c r="B37" s="1" t="s">
        <v>5</v>
      </c>
      <c r="C37" s="92" t="s">
        <v>24</v>
      </c>
      <c r="D37" s="93"/>
      <c r="E37" s="7">
        <f>IF(I10&lt;0, 0,Q12*D8)</f>
        <v>2</v>
      </c>
      <c r="F37" s="14"/>
      <c r="G37" s="10"/>
      <c r="H37" s="10"/>
      <c r="I37" s="10"/>
      <c r="J37" s="10"/>
      <c r="K37" s="10"/>
      <c r="L37" s="10"/>
      <c r="O37" s="41"/>
      <c r="P37" s="41"/>
      <c r="Q37" s="41"/>
      <c r="R37" s="41"/>
      <c r="S37" s="41"/>
      <c r="T37" s="41"/>
      <c r="U37" s="41"/>
      <c r="V37" s="41"/>
      <c r="W37" s="41"/>
    </row>
    <row r="38" spans="1:23" hidden="1" x14ac:dyDescent="0.25">
      <c r="A38" s="10"/>
      <c r="B38" s="1" t="s">
        <v>4</v>
      </c>
      <c r="C38" s="92" t="s">
        <v>25</v>
      </c>
      <c r="D38" s="93"/>
      <c r="E38" s="7">
        <f>IF(I10&lt;0, 0,P12*D8)</f>
        <v>0</v>
      </c>
      <c r="F38" s="14"/>
      <c r="G38" s="10"/>
      <c r="H38" s="10"/>
      <c r="I38" s="10"/>
      <c r="J38" s="10"/>
      <c r="K38" s="10"/>
      <c r="L38" s="10"/>
      <c r="O38" s="41"/>
      <c r="P38" s="41"/>
      <c r="Q38" s="41"/>
      <c r="R38" s="41"/>
      <c r="S38" s="41"/>
      <c r="T38" s="41"/>
      <c r="U38" s="41"/>
      <c r="V38" s="41"/>
      <c r="W38" s="41"/>
    </row>
    <row r="39" spans="1:23" hidden="1" x14ac:dyDescent="0.25">
      <c r="A39" s="10"/>
      <c r="B39" s="1" t="s">
        <v>3</v>
      </c>
      <c r="C39" s="92" t="s">
        <v>26</v>
      </c>
      <c r="D39" s="93"/>
      <c r="E39" s="7">
        <f>IF(I10&lt;0, 0,O12*D8)</f>
        <v>0</v>
      </c>
      <c r="F39" s="14"/>
      <c r="G39" s="10"/>
      <c r="H39" s="10"/>
      <c r="I39" s="10"/>
      <c r="J39" s="10"/>
      <c r="K39" s="10"/>
      <c r="L39" s="10"/>
      <c r="O39" s="41"/>
      <c r="P39" s="41"/>
      <c r="Q39" s="41"/>
      <c r="R39" s="41"/>
      <c r="S39" s="41"/>
      <c r="T39" s="41"/>
      <c r="U39" s="41"/>
      <c r="V39" s="41"/>
      <c r="W39" s="41"/>
    </row>
    <row r="40" spans="1:23" hidden="1" x14ac:dyDescent="0.25">
      <c r="A40" s="10"/>
      <c r="B40" s="1" t="s">
        <v>9</v>
      </c>
      <c r="C40" s="92" t="s">
        <v>27</v>
      </c>
      <c r="D40" s="93"/>
      <c r="E40" s="7">
        <f>IF(I10&lt;0, 0,N12*D8)</f>
        <v>0</v>
      </c>
      <c r="F40" s="14"/>
      <c r="G40" s="10"/>
      <c r="H40" s="10"/>
      <c r="I40" s="10"/>
      <c r="J40" s="10"/>
      <c r="K40" s="10"/>
      <c r="L40" s="10"/>
      <c r="O40" s="41"/>
      <c r="P40" s="41"/>
      <c r="Q40" s="41"/>
      <c r="R40" s="41"/>
      <c r="S40" s="41"/>
      <c r="T40" s="41"/>
      <c r="U40" s="41"/>
      <c r="V40" s="41"/>
      <c r="W40" s="41"/>
    </row>
    <row r="41" spans="1:23" hidden="1" x14ac:dyDescent="0.25">
      <c r="A41" s="10"/>
      <c r="B41" s="1" t="s">
        <v>8</v>
      </c>
      <c r="C41" s="92" t="s">
        <v>28</v>
      </c>
      <c r="D41" s="93"/>
      <c r="E41" s="7">
        <f>IF(I10&lt;0, 0,M12*D8)</f>
        <v>0</v>
      </c>
      <c r="F41" s="14"/>
      <c r="G41" s="10"/>
      <c r="H41" s="10"/>
      <c r="I41" s="10"/>
      <c r="J41" s="10"/>
      <c r="K41" s="10"/>
      <c r="L41" s="10"/>
      <c r="O41" s="41"/>
      <c r="P41" s="41"/>
      <c r="Q41" s="41"/>
      <c r="R41" s="41"/>
      <c r="S41" s="41"/>
      <c r="T41" s="41"/>
      <c r="U41" s="41"/>
      <c r="V41" s="41"/>
      <c r="W41" s="41"/>
    </row>
    <row r="42" spans="1:23" hidden="1" x14ac:dyDescent="0.25">
      <c r="A42" s="10"/>
      <c r="B42" s="1" t="s">
        <v>29</v>
      </c>
      <c r="C42" s="92" t="s">
        <v>30</v>
      </c>
      <c r="D42" s="93"/>
      <c r="E42" s="7">
        <f>IF(I10&lt;0, 0,IF(D9="18in Extender", E27, 0))</f>
        <v>0</v>
      </c>
      <c r="F42" s="14"/>
      <c r="G42" s="10"/>
      <c r="H42" s="10"/>
      <c r="I42" s="10"/>
      <c r="J42" s="10"/>
      <c r="K42" s="10"/>
      <c r="L42" s="10"/>
      <c r="O42" s="41"/>
      <c r="P42" s="41"/>
      <c r="Q42" s="41"/>
      <c r="R42" s="41"/>
      <c r="S42" s="41"/>
      <c r="T42" s="41"/>
      <c r="U42" s="41"/>
      <c r="V42" s="41"/>
      <c r="W42" s="41"/>
    </row>
    <row r="43" spans="1:23" ht="15.75" thickBot="1" x14ac:dyDescent="0.3">
      <c r="A43" s="10"/>
      <c r="B43" s="4" t="s">
        <v>31</v>
      </c>
      <c r="C43" s="106" t="s">
        <v>32</v>
      </c>
      <c r="D43" s="107"/>
      <c r="E43" s="3">
        <f>IF(I10&lt;0, 0,IF(D9="36in Extender", E27, 0))</f>
        <v>2</v>
      </c>
      <c r="F43" s="14"/>
      <c r="G43" s="10"/>
      <c r="H43" s="10"/>
      <c r="I43" s="10"/>
      <c r="J43" s="10"/>
      <c r="K43" s="10"/>
      <c r="L43" s="10"/>
      <c r="O43" s="41"/>
      <c r="P43" s="41"/>
      <c r="Q43" s="41"/>
      <c r="R43" s="41"/>
      <c r="S43" s="41"/>
      <c r="T43" s="41"/>
      <c r="U43" s="41"/>
      <c r="V43" s="41"/>
      <c r="W43" s="41"/>
    </row>
    <row r="44" spans="1:2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O44" s="41"/>
      <c r="P44" s="41"/>
      <c r="Q44" s="41"/>
      <c r="R44" s="41"/>
      <c r="S44" s="41"/>
      <c r="T44" s="41"/>
      <c r="U44" s="41"/>
      <c r="V44" s="41"/>
      <c r="W44" s="41"/>
    </row>
    <row r="45" spans="1:23" x14ac:dyDescent="0.25">
      <c r="A45" s="10"/>
      <c r="B45" s="10"/>
      <c r="C45" s="10"/>
      <c r="D45" s="10"/>
      <c r="E45" s="10"/>
      <c r="F45" s="15"/>
      <c r="G45" s="10"/>
      <c r="H45" s="10"/>
      <c r="I45" s="10"/>
      <c r="J45" s="10"/>
      <c r="K45" s="10"/>
      <c r="L45" s="10"/>
      <c r="O45" s="41"/>
      <c r="P45" s="41"/>
      <c r="Q45" s="41"/>
      <c r="R45" s="41"/>
      <c r="S45" s="41"/>
      <c r="T45" s="41"/>
      <c r="U45" s="41"/>
      <c r="V45" s="41"/>
      <c r="W45" s="41"/>
    </row>
    <row r="46" spans="1:2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O46" s="41"/>
      <c r="P46" s="41"/>
      <c r="Q46" s="41"/>
      <c r="R46" s="41"/>
      <c r="S46" s="41"/>
      <c r="T46" s="41"/>
      <c r="U46" s="41"/>
      <c r="V46" s="41"/>
      <c r="W46" s="41"/>
    </row>
    <row r="47" spans="1:2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O47" s="41"/>
      <c r="P47" s="41"/>
      <c r="Q47" s="41"/>
      <c r="R47" s="41"/>
      <c r="S47" s="41"/>
      <c r="T47" s="41"/>
      <c r="U47" s="41"/>
      <c r="V47" s="41"/>
      <c r="W47" s="41"/>
    </row>
    <row r="48" spans="1:2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O48" s="41"/>
      <c r="P48" s="41"/>
      <c r="Q48" s="41"/>
      <c r="R48" s="41"/>
      <c r="S48" s="41"/>
      <c r="T48" s="41"/>
      <c r="U48" s="41"/>
      <c r="V48" s="41"/>
      <c r="W48" s="41"/>
    </row>
    <row r="49" spans="1:2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O49" s="41"/>
      <c r="P49" s="41"/>
      <c r="Q49" s="41"/>
      <c r="R49" s="41"/>
      <c r="S49" s="41"/>
      <c r="T49" s="41"/>
      <c r="U49" s="41"/>
      <c r="V49" s="41"/>
      <c r="W49" s="41"/>
    </row>
    <row r="50" spans="1:23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O50" s="41"/>
      <c r="P50" s="41"/>
      <c r="Q50" s="41"/>
      <c r="R50" s="41"/>
      <c r="S50" s="41"/>
      <c r="T50" s="41"/>
      <c r="U50" s="41"/>
      <c r="V50" s="41"/>
      <c r="W50" s="41"/>
    </row>
    <row r="51" spans="1:2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O51" s="41"/>
      <c r="P51" s="41"/>
      <c r="Q51" s="41"/>
      <c r="R51" s="41"/>
      <c r="S51" s="41"/>
      <c r="T51" s="41"/>
      <c r="U51" s="41"/>
      <c r="V51" s="41"/>
      <c r="W51" s="41"/>
    </row>
    <row r="52" spans="1:23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O52" s="41"/>
      <c r="P52" s="41"/>
      <c r="Q52" s="41"/>
      <c r="R52" s="41"/>
      <c r="S52" s="41"/>
      <c r="T52" s="41"/>
      <c r="U52" s="41"/>
      <c r="V52" s="41"/>
      <c r="W52" s="41"/>
    </row>
    <row r="53" spans="1:23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O53" s="41"/>
      <c r="P53" s="41"/>
      <c r="Q53" s="41"/>
      <c r="R53" s="41"/>
      <c r="S53" s="41"/>
      <c r="T53" s="41"/>
      <c r="U53" s="41"/>
      <c r="V53" s="41"/>
      <c r="W53" s="41"/>
    </row>
    <row r="54" spans="1:23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O54" s="41"/>
      <c r="P54" s="41"/>
      <c r="Q54" s="41"/>
      <c r="R54" s="41"/>
      <c r="S54" s="41"/>
      <c r="T54" s="41"/>
      <c r="U54" s="41"/>
      <c r="V54" s="41"/>
      <c r="W54" s="41"/>
    </row>
    <row r="55" spans="1:2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O55" s="41"/>
      <c r="P55" s="41"/>
      <c r="Q55" s="41"/>
      <c r="R55" s="41"/>
      <c r="S55" s="41"/>
      <c r="T55" s="41"/>
      <c r="U55" s="41"/>
      <c r="V55" s="41"/>
      <c r="W55" s="41"/>
    </row>
    <row r="56" spans="1:23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O56" s="41"/>
      <c r="P56" s="41"/>
      <c r="Q56" s="41"/>
      <c r="R56" s="41"/>
      <c r="S56" s="41"/>
      <c r="T56" s="41"/>
      <c r="U56" s="41"/>
      <c r="V56" s="41"/>
      <c r="W56" s="41"/>
    </row>
    <row r="57" spans="1:2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O57" s="41"/>
      <c r="P57" s="41"/>
      <c r="Q57" s="41"/>
      <c r="R57" s="41"/>
      <c r="S57" s="41"/>
      <c r="T57" s="41"/>
      <c r="U57" s="41"/>
      <c r="V57" s="41"/>
      <c r="W57" s="41"/>
    </row>
    <row r="58" spans="1:2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O58" s="41"/>
      <c r="P58" s="41"/>
      <c r="Q58" s="41"/>
      <c r="R58" s="41"/>
      <c r="S58" s="41"/>
      <c r="T58" s="41"/>
      <c r="U58" s="41"/>
      <c r="V58" s="41"/>
      <c r="W58" s="41"/>
    </row>
    <row r="59" spans="1:23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O59" s="41"/>
      <c r="P59" s="41"/>
      <c r="Q59" s="41"/>
      <c r="R59" s="41"/>
      <c r="S59" s="41"/>
      <c r="T59" s="41"/>
      <c r="U59" s="41"/>
      <c r="V59" s="41"/>
      <c r="W59" s="41"/>
    </row>
    <row r="60" spans="1:2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O60" s="41"/>
      <c r="P60" s="41"/>
      <c r="Q60" s="41"/>
      <c r="R60" s="41"/>
      <c r="S60" s="41"/>
      <c r="T60" s="41"/>
      <c r="U60" s="41"/>
      <c r="V60" s="41"/>
      <c r="W60" s="41"/>
    </row>
    <row r="61" spans="1:2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O61" s="41"/>
      <c r="P61" s="41"/>
      <c r="Q61" s="41"/>
      <c r="R61" s="41"/>
      <c r="S61" s="41"/>
      <c r="T61" s="41"/>
      <c r="U61" s="41"/>
      <c r="V61" s="41"/>
      <c r="W61" s="41"/>
    </row>
    <row r="62" spans="1:2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O62" s="41"/>
      <c r="P62" s="41"/>
      <c r="Q62" s="41"/>
      <c r="R62" s="41"/>
      <c r="S62" s="41"/>
      <c r="T62" s="41"/>
      <c r="U62" s="41"/>
      <c r="V62" s="41"/>
      <c r="W62" s="41"/>
    </row>
    <row r="63" spans="1:2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O63" s="41"/>
      <c r="P63" s="41"/>
      <c r="Q63" s="41"/>
      <c r="R63" s="41"/>
      <c r="S63" s="41"/>
      <c r="T63" s="41"/>
      <c r="U63" s="41"/>
      <c r="V63" s="41"/>
      <c r="W63" s="41"/>
    </row>
    <row r="64" spans="1:2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O64" s="41"/>
      <c r="P64" s="41"/>
      <c r="Q64" s="41"/>
      <c r="R64" s="41"/>
      <c r="S64" s="41"/>
      <c r="T64" s="41"/>
      <c r="U64" s="41"/>
      <c r="V64" s="41"/>
      <c r="W64" s="41"/>
    </row>
    <row r="65" spans="1:2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O65" s="41"/>
      <c r="P65" s="41"/>
      <c r="Q65" s="41"/>
      <c r="R65" s="41"/>
      <c r="S65" s="41"/>
      <c r="T65" s="41"/>
      <c r="U65" s="41"/>
      <c r="V65" s="41"/>
      <c r="W65" s="41"/>
    </row>
    <row r="66" spans="1:2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O66" s="41"/>
      <c r="P66" s="41"/>
      <c r="Q66" s="41"/>
      <c r="R66" s="41"/>
      <c r="S66" s="41"/>
      <c r="T66" s="41"/>
      <c r="U66" s="41"/>
      <c r="V66" s="41"/>
      <c r="W66" s="41"/>
    </row>
    <row r="67" spans="1:2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O67" s="41"/>
      <c r="P67" s="41"/>
      <c r="Q67" s="41"/>
      <c r="R67" s="41"/>
      <c r="S67" s="41"/>
      <c r="T67" s="41"/>
      <c r="U67" s="41"/>
      <c r="V67" s="41"/>
      <c r="W67" s="41"/>
    </row>
    <row r="68" spans="1:2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O68" s="41"/>
      <c r="P68" s="41"/>
      <c r="Q68" s="41"/>
      <c r="R68" s="41"/>
      <c r="S68" s="41"/>
      <c r="T68" s="41"/>
      <c r="U68" s="41"/>
      <c r="V68" s="41"/>
      <c r="W68" s="41"/>
    </row>
    <row r="69" spans="1:2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O69" s="41"/>
      <c r="P69" s="41"/>
      <c r="Q69" s="41"/>
      <c r="R69" s="41"/>
      <c r="S69" s="41"/>
      <c r="T69" s="41"/>
      <c r="U69" s="41"/>
      <c r="V69" s="41"/>
      <c r="W69" s="41"/>
    </row>
    <row r="70" spans="1:2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O70" s="41"/>
      <c r="P70" s="41"/>
      <c r="Q70" s="41"/>
      <c r="R70" s="41"/>
      <c r="S70" s="41"/>
      <c r="T70" s="41"/>
      <c r="U70" s="41"/>
      <c r="V70" s="41"/>
      <c r="W70" s="41"/>
    </row>
    <row r="71" spans="1:2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O71" s="41"/>
      <c r="P71" s="41"/>
      <c r="Q71" s="41"/>
      <c r="R71" s="41"/>
      <c r="S71" s="41"/>
      <c r="T71" s="41"/>
      <c r="U71" s="41"/>
      <c r="V71" s="41"/>
      <c r="W71" s="41"/>
    </row>
    <row r="72" spans="1:2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O72" s="41"/>
      <c r="P72" s="41"/>
      <c r="Q72" s="41"/>
      <c r="R72" s="41"/>
      <c r="S72" s="41"/>
      <c r="T72" s="41"/>
      <c r="U72" s="41"/>
      <c r="V72" s="41"/>
      <c r="W72" s="41"/>
    </row>
    <row r="73" spans="1:2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O73" s="41"/>
      <c r="P73" s="41"/>
      <c r="Q73" s="41"/>
      <c r="R73" s="41"/>
      <c r="S73" s="41"/>
      <c r="T73" s="41"/>
      <c r="U73" s="41"/>
      <c r="V73" s="41"/>
      <c r="W73" s="41"/>
    </row>
    <row r="74" spans="1:2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O74" s="41"/>
      <c r="P74" s="41"/>
      <c r="Q74" s="41"/>
      <c r="R74" s="41"/>
      <c r="S74" s="41"/>
      <c r="T74" s="41"/>
      <c r="U74" s="41"/>
      <c r="V74" s="41"/>
      <c r="W74" s="41"/>
    </row>
    <row r="75" spans="1:2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O75" s="41"/>
      <c r="P75" s="41"/>
      <c r="Q75" s="41"/>
      <c r="R75" s="41"/>
      <c r="S75" s="41"/>
      <c r="T75" s="41"/>
      <c r="U75" s="41"/>
      <c r="V75" s="41"/>
      <c r="W75" s="41"/>
    </row>
    <row r="76" spans="1:2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O76" s="41"/>
      <c r="P76" s="41"/>
      <c r="Q76" s="41"/>
      <c r="R76" s="41"/>
      <c r="S76" s="41"/>
      <c r="T76" s="41"/>
      <c r="U76" s="41"/>
      <c r="V76" s="41"/>
      <c r="W76" s="41"/>
    </row>
    <row r="77" spans="1:2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O77" s="41"/>
      <c r="P77" s="41"/>
      <c r="Q77" s="41"/>
      <c r="R77" s="41"/>
      <c r="S77" s="41"/>
      <c r="T77" s="41"/>
      <c r="U77" s="41"/>
      <c r="V77" s="41"/>
      <c r="W77" s="41"/>
    </row>
    <row r="78" spans="1:2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O78" s="41"/>
      <c r="P78" s="41"/>
      <c r="Q78" s="41"/>
      <c r="R78" s="41"/>
      <c r="S78" s="41"/>
      <c r="T78" s="41"/>
      <c r="U78" s="41"/>
      <c r="V78" s="41"/>
      <c r="W78" s="41"/>
    </row>
    <row r="79" spans="1:2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O79" s="41"/>
      <c r="P79" s="41"/>
      <c r="Q79" s="41"/>
      <c r="R79" s="41"/>
      <c r="S79" s="41"/>
      <c r="T79" s="41"/>
      <c r="U79" s="41"/>
      <c r="V79" s="41"/>
      <c r="W79" s="41"/>
    </row>
    <row r="80" spans="1:2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O80" s="41"/>
      <c r="P80" s="41"/>
      <c r="Q80" s="41"/>
      <c r="R80" s="41"/>
      <c r="S80" s="41"/>
      <c r="T80" s="41"/>
      <c r="U80" s="41"/>
      <c r="V80" s="41"/>
      <c r="W80" s="41"/>
    </row>
    <row r="81" spans="1:2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O81" s="41"/>
      <c r="P81" s="41"/>
      <c r="Q81" s="41"/>
      <c r="R81" s="41"/>
      <c r="S81" s="41"/>
      <c r="T81" s="41"/>
      <c r="U81" s="41"/>
      <c r="V81" s="41"/>
      <c r="W81" s="41"/>
    </row>
    <row r="82" spans="1:2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O82" s="41"/>
      <c r="P82" s="41"/>
      <c r="Q82" s="41"/>
      <c r="R82" s="41"/>
      <c r="S82" s="41"/>
      <c r="T82" s="41"/>
      <c r="U82" s="41"/>
      <c r="V82" s="41"/>
      <c r="W82" s="41"/>
    </row>
    <row r="83" spans="1:2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O83" s="41"/>
      <c r="P83" s="41"/>
      <c r="Q83" s="41"/>
      <c r="R83" s="41"/>
      <c r="S83" s="41"/>
      <c r="T83" s="41"/>
      <c r="U83" s="41"/>
      <c r="V83" s="41"/>
      <c r="W83" s="41"/>
    </row>
    <row r="84" spans="1:2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O84" s="41"/>
      <c r="P84" s="41"/>
      <c r="Q84" s="41"/>
      <c r="R84" s="41"/>
      <c r="S84" s="41"/>
      <c r="T84" s="41"/>
      <c r="U84" s="41"/>
      <c r="V84" s="41"/>
      <c r="W84" s="41"/>
    </row>
    <row r="85" spans="1:23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O85" s="41"/>
      <c r="P85" s="41"/>
      <c r="Q85" s="41"/>
      <c r="R85" s="41"/>
      <c r="S85" s="41"/>
      <c r="T85" s="41"/>
      <c r="U85" s="41"/>
      <c r="V85" s="41"/>
      <c r="W85" s="41"/>
    </row>
    <row r="86" spans="1:23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O86" s="41"/>
      <c r="P86" s="41"/>
      <c r="Q86" s="41"/>
      <c r="R86" s="41"/>
      <c r="S86" s="41"/>
      <c r="T86" s="41"/>
      <c r="U86" s="41"/>
      <c r="V86" s="41"/>
      <c r="W86" s="41"/>
    </row>
    <row r="87" spans="1:23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O87" s="41"/>
      <c r="P87" s="41"/>
      <c r="Q87" s="41"/>
      <c r="R87" s="41"/>
      <c r="S87" s="41"/>
      <c r="T87" s="41"/>
      <c r="U87" s="41"/>
      <c r="V87" s="41"/>
      <c r="W87" s="41"/>
    </row>
    <row r="88" spans="1:2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O88" s="41"/>
      <c r="P88" s="41"/>
      <c r="Q88" s="41"/>
      <c r="R88" s="41"/>
      <c r="S88" s="41"/>
      <c r="T88" s="41"/>
      <c r="U88" s="41"/>
      <c r="V88" s="41"/>
      <c r="W88" s="41"/>
    </row>
    <row r="89" spans="1:2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O89" s="41"/>
      <c r="P89" s="41"/>
      <c r="Q89" s="41"/>
      <c r="R89" s="41"/>
      <c r="S89" s="41"/>
      <c r="T89" s="41"/>
      <c r="U89" s="41"/>
      <c r="V89" s="41"/>
      <c r="W89" s="41"/>
    </row>
    <row r="90" spans="1:2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O90" s="41"/>
      <c r="P90" s="41"/>
      <c r="Q90" s="41"/>
      <c r="R90" s="41"/>
      <c r="S90" s="41"/>
      <c r="T90" s="41"/>
      <c r="U90" s="41"/>
      <c r="V90" s="41"/>
      <c r="W90" s="41"/>
    </row>
    <row r="91" spans="1:2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O91" s="41"/>
      <c r="P91" s="41"/>
      <c r="Q91" s="41"/>
      <c r="R91" s="41"/>
      <c r="S91" s="41"/>
      <c r="T91" s="41"/>
      <c r="U91" s="41"/>
      <c r="V91" s="41"/>
      <c r="W91" s="41"/>
    </row>
    <row r="92" spans="1:2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O92" s="41"/>
      <c r="P92" s="41"/>
      <c r="Q92" s="41"/>
      <c r="R92" s="41"/>
      <c r="S92" s="41"/>
      <c r="T92" s="41"/>
      <c r="U92" s="41"/>
      <c r="V92" s="41"/>
      <c r="W92" s="41"/>
    </row>
    <row r="93" spans="1:2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O93" s="41"/>
      <c r="P93" s="41"/>
      <c r="Q93" s="41"/>
      <c r="R93" s="41"/>
      <c r="S93" s="41"/>
      <c r="T93" s="41"/>
      <c r="U93" s="41"/>
      <c r="V93" s="41"/>
      <c r="W93" s="41"/>
    </row>
    <row r="94" spans="1:23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O94" s="41"/>
      <c r="P94" s="41"/>
      <c r="Q94" s="41"/>
      <c r="R94" s="41"/>
      <c r="S94" s="41"/>
      <c r="T94" s="41"/>
      <c r="U94" s="41"/>
      <c r="V94" s="41"/>
      <c r="W94" s="41"/>
    </row>
    <row r="95" spans="1:23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O95" s="41"/>
      <c r="P95" s="41"/>
      <c r="Q95" s="41"/>
      <c r="R95" s="41"/>
      <c r="S95" s="41"/>
      <c r="T95" s="41"/>
      <c r="U95" s="41"/>
      <c r="V95" s="41"/>
      <c r="W95" s="41"/>
    </row>
    <row r="96" spans="1:2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O96" s="41"/>
      <c r="P96" s="41"/>
      <c r="Q96" s="41"/>
      <c r="R96" s="41"/>
      <c r="S96" s="41"/>
      <c r="T96" s="41"/>
      <c r="U96" s="41"/>
      <c r="V96" s="41"/>
      <c r="W96" s="41"/>
    </row>
    <row r="97" spans="1:23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O97" s="41"/>
      <c r="P97" s="41"/>
      <c r="Q97" s="41"/>
      <c r="R97" s="41"/>
      <c r="S97" s="41"/>
      <c r="T97" s="41"/>
      <c r="U97" s="41"/>
      <c r="V97" s="41"/>
      <c r="W97" s="41"/>
    </row>
    <row r="98" spans="1:23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O98" s="41"/>
      <c r="P98" s="41"/>
      <c r="Q98" s="41"/>
      <c r="R98" s="41"/>
      <c r="S98" s="41"/>
      <c r="T98" s="41"/>
      <c r="U98" s="41"/>
      <c r="V98" s="41"/>
      <c r="W98" s="41"/>
    </row>
    <row r="99" spans="1:23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O99" s="41"/>
      <c r="P99" s="41"/>
      <c r="Q99" s="41"/>
      <c r="R99" s="41"/>
      <c r="S99" s="41"/>
      <c r="T99" s="41"/>
      <c r="U99" s="41"/>
      <c r="V99" s="41"/>
      <c r="W99" s="41"/>
    </row>
    <row r="100" spans="1:23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x14ac:dyDescent="0.25">
      <c r="A108" s="10"/>
      <c r="B108" s="2"/>
      <c r="C108" s="109"/>
      <c r="D108" s="109"/>
      <c r="E108" s="109"/>
      <c r="F108" s="10"/>
      <c r="G108" s="10"/>
      <c r="H108" s="10"/>
      <c r="I108" s="10"/>
      <c r="J108" s="10"/>
      <c r="K108" s="10"/>
      <c r="L108" s="10"/>
    </row>
    <row r="109" spans="1:23" ht="186" customHeight="1" x14ac:dyDescent="0.25">
      <c r="A109" s="10"/>
      <c r="B109" s="8" t="s">
        <v>45</v>
      </c>
      <c r="C109" s="108"/>
      <c r="D109" s="108"/>
      <c r="E109" s="108"/>
      <c r="F109" s="10"/>
      <c r="G109" s="11"/>
      <c r="H109" s="10"/>
      <c r="I109" s="10"/>
      <c r="J109" s="10"/>
      <c r="K109" s="10"/>
      <c r="L109" s="10"/>
    </row>
    <row r="110" spans="1:23" ht="279.75" customHeight="1" x14ac:dyDescent="0.25">
      <c r="A110" s="10"/>
      <c r="B110" s="9" t="s">
        <v>46</v>
      </c>
      <c r="C110" s="108"/>
      <c r="D110" s="108"/>
      <c r="E110" s="108"/>
      <c r="F110" s="10"/>
      <c r="G110" s="11"/>
      <c r="H110" s="10"/>
      <c r="I110" s="10"/>
      <c r="J110" s="10"/>
      <c r="K110" s="10"/>
      <c r="L110" s="10"/>
    </row>
    <row r="111" spans="1:23" x14ac:dyDescent="0.25">
      <c r="B111" s="101"/>
      <c r="C111" s="101"/>
      <c r="D111" s="101"/>
      <c r="E111" s="101"/>
    </row>
  </sheetData>
  <mergeCells count="44">
    <mergeCell ref="C41:D41"/>
    <mergeCell ref="C31:D31"/>
    <mergeCell ref="C32:D32"/>
    <mergeCell ref="B14:C14"/>
    <mergeCell ref="F27:F28"/>
    <mergeCell ref="B21:C21"/>
    <mergeCell ref="B20:C20"/>
    <mergeCell ref="B19:C19"/>
    <mergeCell ref="B18:C18"/>
    <mergeCell ref="B17:C17"/>
    <mergeCell ref="B22:C22"/>
    <mergeCell ref="B4:D4"/>
    <mergeCell ref="B25:E25"/>
    <mergeCell ref="B6:D6"/>
    <mergeCell ref="D11:D12"/>
    <mergeCell ref="B7:C7"/>
    <mergeCell ref="B8:C8"/>
    <mergeCell ref="B9:C9"/>
    <mergeCell ref="B10:C10"/>
    <mergeCell ref="B11:C12"/>
    <mergeCell ref="B111:E111"/>
    <mergeCell ref="C34:D34"/>
    <mergeCell ref="C35:D35"/>
    <mergeCell ref="C26:D26"/>
    <mergeCell ref="C27:D27"/>
    <mergeCell ref="C28:D28"/>
    <mergeCell ref="C29:D29"/>
    <mergeCell ref="C30:D30"/>
    <mergeCell ref="C33:D33"/>
    <mergeCell ref="C42:D42"/>
    <mergeCell ref="C43:D43"/>
    <mergeCell ref="C36:D36"/>
    <mergeCell ref="C40:D40"/>
    <mergeCell ref="C110:E110"/>
    <mergeCell ref="C109:E109"/>
    <mergeCell ref="C108:E108"/>
    <mergeCell ref="M7:T7"/>
    <mergeCell ref="C37:D37"/>
    <mergeCell ref="C38:D38"/>
    <mergeCell ref="C39:D39"/>
    <mergeCell ref="V6:V7"/>
    <mergeCell ref="B13:C13"/>
    <mergeCell ref="H6:J6"/>
    <mergeCell ref="H14:J14"/>
  </mergeCells>
  <conditionalFormatting sqref="I10">
    <cfRule type="cellIs" dxfId="8" priority="12" operator="between">
      <formula>0</formula>
      <formula>2</formula>
    </cfRule>
    <cfRule type="cellIs" dxfId="7" priority="13" operator="lessThan">
      <formula>0</formula>
    </cfRule>
  </conditionalFormatting>
  <conditionalFormatting sqref="F22">
    <cfRule type="containsText" dxfId="6" priority="9" operator="containsText" text="Max">
      <formula>NOT(ISERROR(SEARCH("Max",F22)))</formula>
    </cfRule>
  </conditionalFormatting>
  <conditionalFormatting sqref="F27:F28">
    <cfRule type="containsText" dxfId="5" priority="8" operator="containsText" text="Warning">
      <formula>NOT(ISERROR(SEARCH("Warning",F27)))</formula>
    </cfRule>
  </conditionalFormatting>
  <conditionalFormatting sqref="D19:D20">
    <cfRule type="cellIs" dxfId="4" priority="7" operator="equal">
      <formula>0</formula>
    </cfRule>
  </conditionalFormatting>
  <conditionalFormatting sqref="D22">
    <cfRule type="expression" dxfId="3" priority="6">
      <formula>NOT($M$24)</formula>
    </cfRule>
  </conditionalFormatting>
  <conditionalFormatting sqref="D21">
    <cfRule type="expression" dxfId="2" priority="5">
      <formula>$D$21&gt;125</formula>
    </cfRule>
  </conditionalFormatting>
  <conditionalFormatting sqref="J10">
    <cfRule type="cellIs" dxfId="1" priority="1" operator="lessThanOrEqual">
      <formula>0</formula>
    </cfRule>
    <cfRule type="cellIs" dxfId="0" priority="2" operator="lessThanOrEqual">
      <formula>2*2.54</formula>
    </cfRule>
  </conditionalFormatting>
  <dataValidations count="12">
    <dataValidation type="list" allowBlank="1" showInputMessage="1" showErrorMessage="1" promptTitle="Note:" prompt="Back to back SKUs to be released at later date." sqref="D10" xr:uid="{DC82828E-E204-4031-B5B2-0B9DD3DB974F}">
      <formula1>"Single Sided"</formula1>
    </dataValidation>
    <dataValidation type="whole" allowBlank="1" showInputMessage="1" showErrorMessage="1" errorTitle="Warning" error="Please enter a non-zero integer value. Max Value is 5." sqref="D8" xr:uid="{D4D0A6C8-94CC-450C-B313-766611BD79B3}">
      <formula1>1</formula1>
      <formula2>5</formula2>
    </dataValidation>
    <dataValidation type="whole" allowBlank="1" showInputMessage="1" showErrorMessage="1" errorTitle="Warning" error="Please enter a non-zero integer value." sqref="D7" xr:uid="{814C3ED2-A070-4518-A2F4-9ECE76AE6B9C}">
      <formula1>1</formula1>
      <formula2>20</formula2>
    </dataValidation>
    <dataValidation type="list" allowBlank="1" showInputMessage="1" showErrorMessage="1" sqref="D9" xr:uid="{9318B121-8C23-4B10-9639-093354438044}">
      <formula1>"No Extender, 18in Extender, 36in Extender"</formula1>
    </dataValidation>
    <dataValidation type="list" allowBlank="1" showInputMessage="1" showErrorMessage="1" sqref="D11:D12" xr:uid="{1B68DEF9-6905-407A-A95B-4F1BADA06D2A}">
      <formula1>DO</formula1>
    </dataValidation>
    <dataValidation type="custom" allowBlank="1" showInputMessage="1" showErrorMessage="1" sqref="A79:E167" xr:uid="{B4F1159C-5D60-4CB7-862B-9766E2EAA1B0}">
      <formula1>"zzzzzzzzzzzzzzzzzz"</formula1>
    </dataValidation>
    <dataValidation type="custom" allowBlank="1" showInputMessage="1" showErrorMessage="1" sqref="W7:W27" xr:uid="{999A1D90-8794-41D0-8783-6F89EA973CAA}">
      <formula1>"zzzzzzzzzzzz"</formula1>
    </dataValidation>
    <dataValidation type="custom" allowBlank="1" showInputMessage="1" showErrorMessage="1" sqref="G7:G78 D15:D16 E7:F21 A7:A78 B23:F78 I1:J5 B14:C14 A1:G6 H1:H5 H6:J14 H15:K78 B13:C13 K1:K6 B15:C16 B17:C22 B7:C12 L6:V27" xr:uid="{0F69D23A-BBEE-4B73-9A8D-987C456EB30A}">
      <formula1>"ZZZZZZZZZZZZZZZZZZZZZZZZZZZZZZZZ"</formula1>
    </dataValidation>
    <dataValidation type="decimal" operator="greaterThanOrEqual" allowBlank="1" showInputMessage="1" showErrorMessage="1" errorTitle="Entered Value Error" error="Entered value must be a number that is zero or greater." sqref="D13" xr:uid="{2FD89ED6-E080-4FE9-9525-370F08CC9A1D}">
      <formula1>0</formula1>
    </dataValidation>
    <dataValidation type="decimal" operator="lessThanOrEqual" allowBlank="1" showInputMessage="1" showErrorMessage="1" errorTitle="Weight Capacity Exceeded!" error="Maximum suported display weight is 125 lbs. (56.6kg)." sqref="D21" xr:uid="{67FC4F74-D79E-4D0F-968D-6344F00981E5}">
      <formula1>125</formula1>
    </dataValidation>
    <dataValidation type="decimal" errorStyle="warning" operator="greaterThan" allowBlank="1" showInputMessage="1" showErrorMessage="1" errorTitle="Notice!" error="Physical display size is smaller than mounting pattern!" sqref="D17:D18" xr:uid="{C372D3C4-BC69-4B81-B5FB-141206707F1D}">
      <formula1>D19/25.4</formula1>
    </dataValidation>
    <dataValidation type="decimal" errorStyle="warning" operator="lessThan" allowBlank="1" showInputMessage="1" showErrorMessage="1" errorTitle="Notice!" error="Mounting pattern larger than physical display!" sqref="D19:D20" xr:uid="{9440A43F-712F-4D33-A84F-E72B862E1317}">
      <formula1>D17*25.4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67B4ED-0B39-4290-BE8E-6260E1B98CB0}">
          <x14:formula1>
            <xm:f>'Video Wall Display Specs'!$D$2:$D$36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A8B2-76FE-434D-9B77-84482ED582CE}">
  <sheetPr codeName="Sheet1"/>
  <dimension ref="A1:S378"/>
  <sheetViews>
    <sheetView workbookViewId="0">
      <pane ySplit="1" topLeftCell="A2" activePane="bottomLeft" state="frozen"/>
      <selection pane="bottomLeft" activeCell="I22" sqref="I22"/>
    </sheetView>
  </sheetViews>
  <sheetFormatPr defaultColWidth="9.140625" defaultRowHeight="15" zeroHeight="1" x14ac:dyDescent="0.25"/>
  <cols>
    <col min="1" max="1" width="21.28515625" style="10" customWidth="1"/>
    <col min="2" max="2" width="17.140625" style="10" customWidth="1"/>
    <col min="3" max="3" width="15.85546875" style="10" bestFit="1" customWidth="1"/>
    <col min="4" max="4" width="21.5703125" style="10" bestFit="1" customWidth="1"/>
    <col min="5" max="5" width="4.5703125" style="10" bestFit="1" customWidth="1"/>
    <col min="6" max="6" width="14.28515625" style="10" customWidth="1"/>
    <col min="7" max="7" width="15.42578125" style="10" customWidth="1"/>
    <col min="8" max="8" width="10.28515625" style="10" bestFit="1" customWidth="1"/>
    <col min="9" max="9" width="12.42578125" style="10" bestFit="1" customWidth="1"/>
    <col min="10" max="10" width="10" style="10" bestFit="1" customWidth="1"/>
    <col min="11" max="11" width="10.42578125" style="10" bestFit="1" customWidth="1"/>
    <col min="12" max="16381" width="9.140625" style="10" customWidth="1"/>
    <col min="16382" max="16384" width="9.140625" style="10"/>
  </cols>
  <sheetData>
    <row r="1" spans="2:11" ht="37.5" customHeight="1" x14ac:dyDescent="0.25">
      <c r="B1" s="69" t="s">
        <v>72</v>
      </c>
      <c r="C1" s="44" t="s">
        <v>50</v>
      </c>
      <c r="D1" s="44" t="s">
        <v>62</v>
      </c>
      <c r="E1" s="44" t="s">
        <v>51</v>
      </c>
      <c r="F1" s="66" t="s">
        <v>100</v>
      </c>
      <c r="G1" s="66" t="s">
        <v>99</v>
      </c>
      <c r="H1" s="66" t="s">
        <v>102</v>
      </c>
      <c r="I1" s="44" t="s">
        <v>95</v>
      </c>
      <c r="J1" s="44" t="s">
        <v>96</v>
      </c>
      <c r="K1" s="45" t="s">
        <v>97</v>
      </c>
    </row>
    <row r="2" spans="2:11" x14ac:dyDescent="0.25">
      <c r="B2" s="23" t="s">
        <v>52</v>
      </c>
      <c r="C2" s="38" t="s">
        <v>86</v>
      </c>
      <c r="D2" s="38" t="str">
        <f>B2 &amp; " - " &amp;C2</f>
        <v>NEC - UN552VS</v>
      </c>
      <c r="E2" s="46">
        <v>55</v>
      </c>
      <c r="F2" s="46">
        <v>400</v>
      </c>
      <c r="G2" s="46">
        <v>400</v>
      </c>
      <c r="H2" s="46">
        <v>6</v>
      </c>
      <c r="I2" s="46">
        <v>56.9</v>
      </c>
      <c r="J2" s="46">
        <v>47.7</v>
      </c>
      <c r="K2" s="47">
        <v>26.8</v>
      </c>
    </row>
    <row r="3" spans="2:11" x14ac:dyDescent="0.25">
      <c r="B3" s="23" t="s">
        <v>52</v>
      </c>
      <c r="C3" s="38" t="s">
        <v>87</v>
      </c>
      <c r="D3" s="38" t="str">
        <f t="shared" ref="D3:D35" si="0">B3 &amp; " - " &amp;C3</f>
        <v>NEC - UN552</v>
      </c>
      <c r="E3" s="46">
        <v>55</v>
      </c>
      <c r="F3" s="46">
        <v>400</v>
      </c>
      <c r="G3" s="46">
        <v>400</v>
      </c>
      <c r="H3" s="46">
        <v>6</v>
      </c>
      <c r="I3" s="46">
        <v>61.9</v>
      </c>
      <c r="J3" s="46">
        <v>47.8</v>
      </c>
      <c r="K3" s="47">
        <v>27</v>
      </c>
    </row>
    <row r="4" spans="2:11" x14ac:dyDescent="0.25">
      <c r="B4" s="23" t="s">
        <v>52</v>
      </c>
      <c r="C4" s="38" t="s">
        <v>88</v>
      </c>
      <c r="D4" s="38" t="str">
        <f t="shared" si="0"/>
        <v>NEC - UN552S</v>
      </c>
      <c r="E4" s="46">
        <v>55</v>
      </c>
      <c r="F4" s="46">
        <v>400</v>
      </c>
      <c r="G4" s="46">
        <v>400</v>
      </c>
      <c r="H4" s="46">
        <v>6</v>
      </c>
      <c r="I4" s="46">
        <v>56.9</v>
      </c>
      <c r="J4" s="46">
        <v>47.7</v>
      </c>
      <c r="K4" s="47">
        <v>26.8</v>
      </c>
    </row>
    <row r="5" spans="2:11" x14ac:dyDescent="0.25">
      <c r="B5" s="23" t="s">
        <v>52</v>
      </c>
      <c r="C5" s="38" t="s">
        <v>89</v>
      </c>
      <c r="D5" s="38" t="str">
        <f t="shared" si="0"/>
        <v>NEC - UN552V</v>
      </c>
      <c r="E5" s="46">
        <v>55</v>
      </c>
      <c r="F5" s="46">
        <v>400</v>
      </c>
      <c r="G5" s="46">
        <v>400</v>
      </c>
      <c r="H5" s="46">
        <v>6</v>
      </c>
      <c r="I5" s="46">
        <v>61.9</v>
      </c>
      <c r="J5" s="46">
        <v>47.8</v>
      </c>
      <c r="K5" s="47">
        <v>27</v>
      </c>
    </row>
    <row r="6" spans="2:11" x14ac:dyDescent="0.25">
      <c r="B6" s="23" t="s">
        <v>52</v>
      </c>
      <c r="C6" s="38" t="s">
        <v>90</v>
      </c>
      <c r="D6" s="38" t="str">
        <f t="shared" si="0"/>
        <v>NEC - X555UNV</v>
      </c>
      <c r="E6" s="46">
        <v>55</v>
      </c>
      <c r="F6" s="46">
        <v>400</v>
      </c>
      <c r="G6" s="46">
        <v>400</v>
      </c>
      <c r="H6" s="46">
        <v>6</v>
      </c>
      <c r="I6" s="46">
        <v>65</v>
      </c>
      <c r="J6" s="46">
        <v>47.8</v>
      </c>
      <c r="K6" s="47">
        <v>26.9</v>
      </c>
    </row>
    <row r="7" spans="2:11" x14ac:dyDescent="0.25">
      <c r="B7" s="23" t="s">
        <v>52</v>
      </c>
      <c r="C7" s="38" t="s">
        <v>53</v>
      </c>
      <c r="D7" s="38" t="str">
        <f t="shared" si="0"/>
        <v>NEC - UN492VS</v>
      </c>
      <c r="E7" s="46">
        <v>49</v>
      </c>
      <c r="F7" s="46">
        <v>300</v>
      </c>
      <c r="G7" s="46">
        <v>300</v>
      </c>
      <c r="H7" s="46">
        <v>6</v>
      </c>
      <c r="I7" s="46">
        <v>53.6</v>
      </c>
      <c r="J7" s="46">
        <v>42.4</v>
      </c>
      <c r="K7" s="47">
        <v>23.9</v>
      </c>
    </row>
    <row r="8" spans="2:11" x14ac:dyDescent="0.25">
      <c r="B8" s="23" t="s">
        <v>52</v>
      </c>
      <c r="C8" s="38" t="s">
        <v>54</v>
      </c>
      <c r="D8" s="38" t="str">
        <f t="shared" si="0"/>
        <v>NEC - UN492S</v>
      </c>
      <c r="E8" s="46">
        <v>49</v>
      </c>
      <c r="F8" s="46">
        <v>300</v>
      </c>
      <c r="G8" s="46">
        <v>300</v>
      </c>
      <c r="H8" s="46">
        <v>6</v>
      </c>
      <c r="I8" s="46">
        <v>53.6</v>
      </c>
      <c r="J8" s="46">
        <v>42.4</v>
      </c>
      <c r="K8" s="47">
        <v>23.9</v>
      </c>
    </row>
    <row r="9" spans="2:11" x14ac:dyDescent="0.25">
      <c r="B9" s="23" t="s">
        <v>52</v>
      </c>
      <c r="C9" s="38" t="s">
        <v>85</v>
      </c>
      <c r="D9" s="38" t="str">
        <f>B9 &amp; " - " &amp;C9</f>
        <v>NEC - UN462VA</v>
      </c>
      <c r="E9" s="46">
        <v>46</v>
      </c>
      <c r="F9" s="46">
        <v>300</v>
      </c>
      <c r="G9" s="46">
        <v>300</v>
      </c>
      <c r="H9" s="46">
        <v>6</v>
      </c>
      <c r="I9" s="46">
        <v>45</v>
      </c>
      <c r="J9" s="46">
        <v>40.200000000000003</v>
      </c>
      <c r="K9" s="47">
        <v>22.7</v>
      </c>
    </row>
    <row r="10" spans="2:11" x14ac:dyDescent="0.25">
      <c r="B10" s="23" t="s">
        <v>52</v>
      </c>
      <c r="C10" s="38" t="s">
        <v>55</v>
      </c>
      <c r="D10" s="38" t="str">
        <f t="shared" si="0"/>
        <v>NEC - UN462A</v>
      </c>
      <c r="E10" s="46">
        <v>46</v>
      </c>
      <c r="F10" s="46">
        <v>300</v>
      </c>
      <c r="G10" s="46">
        <v>300</v>
      </c>
      <c r="H10" s="46">
        <v>6</v>
      </c>
      <c r="I10" s="46">
        <v>45</v>
      </c>
      <c r="J10" s="46">
        <v>40.200000000000003</v>
      </c>
      <c r="K10" s="47">
        <v>22.7</v>
      </c>
    </row>
    <row r="11" spans="2:11" x14ac:dyDescent="0.25">
      <c r="B11" s="23" t="s">
        <v>56</v>
      </c>
      <c r="C11" s="38" t="s">
        <v>57</v>
      </c>
      <c r="D11" s="38" t="str">
        <f t="shared" si="0"/>
        <v>Samsung - UM46N-E</v>
      </c>
      <c r="E11" s="46">
        <v>46</v>
      </c>
      <c r="F11" s="46">
        <v>600</v>
      </c>
      <c r="G11" s="46">
        <v>400</v>
      </c>
      <c r="H11" s="46">
        <v>8</v>
      </c>
      <c r="I11" s="46">
        <v>34.6</v>
      </c>
      <c r="J11" s="46">
        <v>40.15</v>
      </c>
      <c r="K11" s="47">
        <v>22.6</v>
      </c>
    </row>
    <row r="12" spans="2:11" x14ac:dyDescent="0.25">
      <c r="B12" s="23" t="s">
        <v>56</v>
      </c>
      <c r="C12" s="38" t="s">
        <v>58</v>
      </c>
      <c r="D12" s="38" t="str">
        <f t="shared" si="0"/>
        <v>Samsung - UD46E-B</v>
      </c>
      <c r="E12" s="46">
        <v>46</v>
      </c>
      <c r="F12" s="46">
        <v>600</v>
      </c>
      <c r="G12" s="46">
        <v>400</v>
      </c>
      <c r="H12" s="46">
        <v>8</v>
      </c>
      <c r="I12" s="46">
        <v>39.6</v>
      </c>
      <c r="J12" s="46">
        <v>40.200000000000003</v>
      </c>
      <c r="K12" s="47">
        <v>22.7</v>
      </c>
    </row>
    <row r="13" spans="2:11" x14ac:dyDescent="0.25">
      <c r="B13" s="23" t="s">
        <v>56</v>
      </c>
      <c r="C13" s="38" t="s">
        <v>59</v>
      </c>
      <c r="D13" s="38" t="str">
        <f t="shared" si="0"/>
        <v>Samsung - UH46F5</v>
      </c>
      <c r="E13" s="46">
        <v>46</v>
      </c>
      <c r="F13" s="46">
        <v>400</v>
      </c>
      <c r="G13" s="46">
        <v>400</v>
      </c>
      <c r="H13" s="46">
        <v>8</v>
      </c>
      <c r="I13" s="46">
        <v>29.1</v>
      </c>
      <c r="J13" s="46">
        <v>40.299999999999997</v>
      </c>
      <c r="K13" s="47">
        <v>22.7</v>
      </c>
    </row>
    <row r="14" spans="2:11" x14ac:dyDescent="0.25">
      <c r="B14" s="23" t="s">
        <v>56</v>
      </c>
      <c r="C14" s="38" t="s">
        <v>60</v>
      </c>
      <c r="D14" s="38" t="str">
        <f t="shared" si="0"/>
        <v>Samsung - UH55F-E</v>
      </c>
      <c r="E14" s="46">
        <v>55</v>
      </c>
      <c r="F14" s="46">
        <v>600</v>
      </c>
      <c r="G14" s="46">
        <v>400</v>
      </c>
      <c r="H14" s="46">
        <v>8</v>
      </c>
      <c r="I14" s="46">
        <v>46.29</v>
      </c>
      <c r="J14" s="46">
        <v>47.6</v>
      </c>
      <c r="K14" s="47">
        <v>26.8</v>
      </c>
    </row>
    <row r="15" spans="2:11" x14ac:dyDescent="0.25">
      <c r="B15" s="23" t="s">
        <v>56</v>
      </c>
      <c r="C15" s="38" t="s">
        <v>61</v>
      </c>
      <c r="D15" s="38" t="str">
        <f t="shared" si="0"/>
        <v>Samsung - UD55E-B</v>
      </c>
      <c r="E15" s="46">
        <v>55</v>
      </c>
      <c r="F15" s="46">
        <v>600</v>
      </c>
      <c r="G15" s="46">
        <v>400</v>
      </c>
      <c r="H15" s="46">
        <v>8</v>
      </c>
      <c r="I15" s="46">
        <v>51.3</v>
      </c>
      <c r="J15" s="46">
        <v>47.8</v>
      </c>
      <c r="K15" s="47">
        <v>26.9</v>
      </c>
    </row>
    <row r="16" spans="2:11" ht="15.75" thickBot="1" x14ac:dyDescent="0.3">
      <c r="B16" s="23" t="s">
        <v>68</v>
      </c>
      <c r="C16" s="38" t="s">
        <v>69</v>
      </c>
      <c r="D16" s="38" t="str">
        <f t="shared" si="0"/>
        <v>Planar - VM55LX-U</v>
      </c>
      <c r="E16" s="46">
        <v>55</v>
      </c>
      <c r="F16" s="46">
        <v>400</v>
      </c>
      <c r="G16" s="46">
        <v>400</v>
      </c>
      <c r="H16" s="46">
        <v>6</v>
      </c>
      <c r="I16" s="46">
        <v>64</v>
      </c>
      <c r="J16" s="46">
        <v>47.8</v>
      </c>
      <c r="K16" s="47">
        <v>26.9</v>
      </c>
    </row>
    <row r="17" spans="1:19" ht="16.5" customHeight="1" x14ac:dyDescent="0.25">
      <c r="A17" s="126" t="s">
        <v>81</v>
      </c>
      <c r="B17" s="23"/>
      <c r="C17" s="38"/>
      <c r="D17" s="38" t="str">
        <f t="shared" ref="D17" si="1">B17 &amp; " - " &amp;C17</f>
        <v xml:space="preserve"> - </v>
      </c>
      <c r="E17" s="38"/>
      <c r="F17" s="46"/>
      <c r="G17" s="46"/>
      <c r="H17" s="38"/>
      <c r="I17" s="38"/>
      <c r="J17" s="46"/>
      <c r="K17" s="47"/>
    </row>
    <row r="18" spans="1:19" ht="16.5" customHeight="1" thickBot="1" x14ac:dyDescent="0.3">
      <c r="A18" s="127"/>
      <c r="B18" s="23"/>
      <c r="C18" s="38"/>
      <c r="D18" s="38" t="str">
        <f t="shared" si="0"/>
        <v xml:space="preserve"> - </v>
      </c>
      <c r="E18" s="38"/>
      <c r="F18" s="46"/>
      <c r="G18" s="46"/>
      <c r="H18" s="38"/>
      <c r="I18" s="38"/>
      <c r="J18" s="46"/>
      <c r="K18" s="47"/>
    </row>
    <row r="19" spans="1:19" ht="16.5" customHeight="1" x14ac:dyDescent="0.25">
      <c r="B19" s="23"/>
      <c r="C19" s="38"/>
      <c r="D19" s="38" t="str">
        <f t="shared" si="0"/>
        <v xml:space="preserve"> - </v>
      </c>
      <c r="E19" s="38"/>
      <c r="F19" s="46"/>
      <c r="G19" s="46"/>
      <c r="H19" s="38"/>
      <c r="I19" s="38"/>
      <c r="J19" s="46"/>
      <c r="K19" s="47"/>
      <c r="M19" s="10" t="s">
        <v>101</v>
      </c>
    </row>
    <row r="20" spans="1:19" x14ac:dyDescent="0.25">
      <c r="B20" s="23"/>
      <c r="C20" s="38"/>
      <c r="D20" s="38" t="str">
        <f t="shared" si="0"/>
        <v xml:space="preserve"> - </v>
      </c>
      <c r="E20" s="38"/>
      <c r="F20" s="46"/>
      <c r="G20" s="46"/>
      <c r="H20" s="38"/>
      <c r="I20" s="38"/>
      <c r="J20" s="46"/>
      <c r="K20" s="47"/>
      <c r="M20" s="128" t="s">
        <v>105</v>
      </c>
      <c r="N20" s="128"/>
      <c r="O20" s="128"/>
      <c r="P20" s="128"/>
      <c r="Q20" s="128"/>
      <c r="R20" s="128"/>
      <c r="S20" s="128"/>
    </row>
    <row r="21" spans="1:19" x14ac:dyDescent="0.25">
      <c r="B21" s="23"/>
      <c r="C21" s="38"/>
      <c r="D21" s="38" t="str">
        <f t="shared" si="0"/>
        <v xml:space="preserve"> - </v>
      </c>
      <c r="E21" s="38"/>
      <c r="F21" s="46"/>
      <c r="G21" s="46"/>
      <c r="H21" s="38"/>
      <c r="I21" s="38"/>
      <c r="J21" s="46"/>
      <c r="K21" s="47"/>
      <c r="M21" s="128"/>
      <c r="N21" s="128"/>
      <c r="O21" s="128"/>
      <c r="P21" s="128"/>
      <c r="Q21" s="128"/>
      <c r="R21" s="128"/>
      <c r="S21" s="128"/>
    </row>
    <row r="22" spans="1:19" x14ac:dyDescent="0.25">
      <c r="B22" s="23"/>
      <c r="C22" s="38"/>
      <c r="D22" s="38" t="str">
        <f t="shared" si="0"/>
        <v xml:space="preserve"> - </v>
      </c>
      <c r="E22" s="38"/>
      <c r="F22" s="46"/>
      <c r="G22" s="46"/>
      <c r="H22" s="38"/>
      <c r="I22" s="38"/>
      <c r="J22" s="46"/>
      <c r="K22" s="47"/>
      <c r="M22" s="128"/>
      <c r="N22" s="128"/>
      <c r="O22" s="128"/>
      <c r="P22" s="128"/>
      <c r="Q22" s="128"/>
      <c r="R22" s="128"/>
      <c r="S22" s="128"/>
    </row>
    <row r="23" spans="1:19" x14ac:dyDescent="0.25">
      <c r="B23" s="23"/>
      <c r="C23" s="38"/>
      <c r="D23" s="38" t="str">
        <f t="shared" si="0"/>
        <v xml:space="preserve"> - </v>
      </c>
      <c r="E23" s="38"/>
      <c r="F23" s="46"/>
      <c r="G23" s="46"/>
      <c r="H23" s="38"/>
      <c r="I23" s="38"/>
      <c r="J23" s="46"/>
      <c r="K23" s="47"/>
    </row>
    <row r="24" spans="1:19" x14ac:dyDescent="0.25">
      <c r="B24" s="23"/>
      <c r="C24" s="38"/>
      <c r="D24" s="38" t="str">
        <f t="shared" si="0"/>
        <v xml:space="preserve"> - </v>
      </c>
      <c r="E24" s="38"/>
      <c r="F24" s="46"/>
      <c r="G24" s="46"/>
      <c r="H24" s="38"/>
      <c r="I24" s="38"/>
      <c r="J24" s="46"/>
      <c r="K24" s="47"/>
    </row>
    <row r="25" spans="1:19" x14ac:dyDescent="0.25">
      <c r="B25" s="23"/>
      <c r="C25" s="38"/>
      <c r="D25" s="38" t="str">
        <f t="shared" si="0"/>
        <v xml:space="preserve"> - </v>
      </c>
      <c r="E25" s="38"/>
      <c r="F25" s="46"/>
      <c r="G25" s="46"/>
      <c r="H25" s="38"/>
      <c r="I25" s="38"/>
      <c r="J25" s="46"/>
      <c r="K25" s="47"/>
    </row>
    <row r="26" spans="1:19" x14ac:dyDescent="0.25">
      <c r="B26" s="23"/>
      <c r="C26" s="38"/>
      <c r="D26" s="38" t="str">
        <f t="shared" si="0"/>
        <v xml:space="preserve"> - </v>
      </c>
      <c r="E26" s="38"/>
      <c r="F26" s="46"/>
      <c r="G26" s="46"/>
      <c r="H26" s="38"/>
      <c r="I26" s="38"/>
      <c r="J26" s="46"/>
      <c r="K26" s="47"/>
    </row>
    <row r="27" spans="1:19" x14ac:dyDescent="0.25">
      <c r="B27" s="23"/>
      <c r="C27" s="38"/>
      <c r="D27" s="38" t="str">
        <f t="shared" si="0"/>
        <v xml:space="preserve"> - </v>
      </c>
      <c r="E27" s="38"/>
      <c r="F27" s="46"/>
      <c r="G27" s="46"/>
      <c r="H27" s="38"/>
      <c r="I27" s="38"/>
      <c r="J27" s="46"/>
      <c r="K27" s="47"/>
    </row>
    <row r="28" spans="1:19" x14ac:dyDescent="0.25">
      <c r="B28" s="23"/>
      <c r="C28" s="38"/>
      <c r="D28" s="38" t="str">
        <f t="shared" si="0"/>
        <v xml:space="preserve"> - </v>
      </c>
      <c r="E28" s="38"/>
      <c r="F28" s="46"/>
      <c r="G28" s="46"/>
      <c r="H28" s="38"/>
      <c r="I28" s="38"/>
      <c r="J28" s="46"/>
      <c r="K28" s="47"/>
    </row>
    <row r="29" spans="1:19" x14ac:dyDescent="0.25">
      <c r="B29" s="23"/>
      <c r="C29" s="38"/>
      <c r="D29" s="38" t="str">
        <f t="shared" si="0"/>
        <v xml:space="preserve"> - </v>
      </c>
      <c r="E29" s="38"/>
      <c r="F29" s="46"/>
      <c r="G29" s="46"/>
      <c r="H29" s="38"/>
      <c r="I29" s="38"/>
      <c r="J29" s="46"/>
      <c r="K29" s="47"/>
    </row>
    <row r="30" spans="1:19" x14ac:dyDescent="0.25">
      <c r="B30" s="23"/>
      <c r="C30" s="38"/>
      <c r="D30" s="38" t="str">
        <f t="shared" si="0"/>
        <v xml:space="preserve"> - </v>
      </c>
      <c r="E30" s="38"/>
      <c r="F30" s="46"/>
      <c r="G30" s="46"/>
      <c r="H30" s="38"/>
      <c r="I30" s="38"/>
      <c r="J30" s="46"/>
      <c r="K30" s="47"/>
    </row>
    <row r="31" spans="1:19" x14ac:dyDescent="0.25">
      <c r="B31" s="23"/>
      <c r="C31" s="38"/>
      <c r="D31" s="38" t="str">
        <f t="shared" si="0"/>
        <v xml:space="preserve"> - </v>
      </c>
      <c r="E31" s="38"/>
      <c r="F31" s="46"/>
      <c r="G31" s="46"/>
      <c r="H31" s="38"/>
      <c r="I31" s="38"/>
      <c r="J31" s="46"/>
      <c r="K31" s="47"/>
    </row>
    <row r="32" spans="1:19" x14ac:dyDescent="0.25">
      <c r="B32" s="23"/>
      <c r="C32" s="38"/>
      <c r="D32" s="38" t="str">
        <f t="shared" si="0"/>
        <v xml:space="preserve"> - </v>
      </c>
      <c r="E32" s="38"/>
      <c r="F32" s="46"/>
      <c r="G32" s="46"/>
      <c r="H32" s="38"/>
      <c r="I32" s="38"/>
      <c r="J32" s="46"/>
      <c r="K32" s="47"/>
    </row>
    <row r="33" spans="2:11" x14ac:dyDescent="0.25">
      <c r="B33" s="23"/>
      <c r="C33" s="38"/>
      <c r="D33" s="38" t="str">
        <f t="shared" si="0"/>
        <v xml:space="preserve"> - </v>
      </c>
      <c r="E33" s="38"/>
      <c r="F33" s="46"/>
      <c r="G33" s="46"/>
      <c r="H33" s="38"/>
      <c r="I33" s="38"/>
      <c r="J33" s="46"/>
      <c r="K33" s="47"/>
    </row>
    <row r="34" spans="2:11" x14ac:dyDescent="0.25">
      <c r="B34" s="23"/>
      <c r="C34" s="38"/>
      <c r="D34" s="38" t="str">
        <f t="shared" si="0"/>
        <v xml:space="preserve"> - </v>
      </c>
      <c r="E34" s="38"/>
      <c r="F34" s="46"/>
      <c r="G34" s="46"/>
      <c r="H34" s="38"/>
      <c r="I34" s="38"/>
      <c r="J34" s="46"/>
      <c r="K34" s="47"/>
    </row>
    <row r="35" spans="2:11" x14ac:dyDescent="0.25">
      <c r="B35" s="23"/>
      <c r="C35" s="38"/>
      <c r="D35" s="38" t="str">
        <f t="shared" si="0"/>
        <v xml:space="preserve"> - </v>
      </c>
      <c r="E35" s="38"/>
      <c r="F35" s="46"/>
      <c r="G35" s="46"/>
      <c r="H35" s="38"/>
      <c r="I35" s="38"/>
      <c r="J35" s="46"/>
      <c r="K35" s="47"/>
    </row>
    <row r="36" spans="2:11" ht="15.75" thickBot="1" x14ac:dyDescent="0.3">
      <c r="B36" s="48"/>
      <c r="C36" s="49"/>
      <c r="D36" s="49" t="str">
        <f t="shared" ref="D36" si="2">B36 &amp; " - " &amp;C36</f>
        <v xml:space="preserve"> - </v>
      </c>
      <c r="E36" s="49"/>
      <c r="F36" s="34"/>
      <c r="G36" s="34"/>
      <c r="H36" s="49"/>
      <c r="I36" s="49"/>
      <c r="J36" s="34"/>
      <c r="K36" s="35"/>
    </row>
    <row r="37" spans="2:11" x14ac:dyDescent="0.25"/>
    <row r="38" spans="2:11" x14ac:dyDescent="0.25"/>
    <row r="39" spans="2:11" x14ac:dyDescent="0.25"/>
    <row r="40" spans="2:11" x14ac:dyDescent="0.25"/>
    <row r="41" spans="2:11" x14ac:dyDescent="0.25"/>
    <row r="42" spans="2:11" x14ac:dyDescent="0.25"/>
    <row r="43" spans="2:11" x14ac:dyDescent="0.25"/>
    <row r="44" spans="2:11" x14ac:dyDescent="0.25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</sheetData>
  <mergeCells count="2">
    <mergeCell ref="A17:A18"/>
    <mergeCell ref="M20:S22"/>
  </mergeCells>
  <phoneticPr fontId="6" type="noConversion"/>
  <dataValidations count="11">
    <dataValidation type="custom" allowBlank="1" showInputMessage="1" showErrorMessage="1" sqref="B1:E1 A1:A16" xr:uid="{8A3721CD-BD35-4576-AB99-5A9C214A4B29}">
      <formula1>"zzzzzzzzzzzzzzzzzz"</formula1>
    </dataValidation>
    <dataValidation type="custom" allowBlank="1" showInputMessage="1" showErrorMessage="1" sqref="A17:A18" xr:uid="{382D8256-44F8-40AC-8C6F-6A9DD4E24717}">
      <formula1>"zzzzzzzzzzzzzzz"</formula1>
    </dataValidation>
    <dataValidation type="custom" allowBlank="1" showInputMessage="1" showErrorMessage="1" sqref="I1:K1" xr:uid="{B1E963B0-14D0-45D1-BF8A-EFCCC7B211CC}">
      <formula1>"zzzzzzzzzzzzzzzzzzz"</formula1>
    </dataValidation>
    <dataValidation type="custom" allowBlank="1" showInputMessage="1" showErrorMessage="1" sqref="B2:K16 M19:S22" xr:uid="{A5A8C932-A651-461C-AA13-9C8A73C0507C}">
      <formula1>"ZZZZZZZZZZZZZZZZZZZZZZZZZZZZZZZZ"</formula1>
    </dataValidation>
    <dataValidation type="custom" allowBlank="1" showInputMessage="1" showErrorMessage="1" sqref="D17:D36" xr:uid="{69414234-0379-4013-9E40-5EC7CDA40EAA}">
      <formula1>"zzzzzzzzzzzzzz"</formula1>
    </dataValidation>
    <dataValidation type="list" allowBlank="1" showInputMessage="1" showErrorMessage="1" sqref="H17:H36" xr:uid="{1E9E5CCF-3056-4459-8346-ABAF70149E15}">
      <formula1>"6,8,Other"</formula1>
    </dataValidation>
    <dataValidation type="decimal" operator="lessThanOrEqual" allowBlank="1" showInputMessage="1" showErrorMessage="1" errorTitle="Weight Capacity Exceeded!" error="Maximum suported display weight is 125 lbs. (56.6kg)." sqref="I17:I36" xr:uid="{D881BAD7-F451-4C96-B883-B5F3655242B2}">
      <formula1>125</formula1>
    </dataValidation>
    <dataValidation type="decimal" errorStyle="warning" operator="lessThan" allowBlank="1" showInputMessage="1" showErrorMessage="1" errorTitle="Notice!" error="Mounting pattern larger than physical display!" sqref="F17:G36" xr:uid="{F2F41FB2-E797-4899-A88D-531C6D229E80}">
      <formula1>J17*25.4</formula1>
    </dataValidation>
    <dataValidation type="decimal" errorStyle="warning" operator="greaterThan" allowBlank="1" showInputMessage="1" showErrorMessage="1" errorTitle="Notice!" error="Physical display size is smaller than mounting pattern!" sqref="J17:J36" xr:uid="{CF80E1FE-218F-487B-9FA0-564C6A8B8CF5}">
      <formula1>F17/25.4</formula1>
    </dataValidation>
    <dataValidation type="decimal" errorStyle="warning" operator="greaterThan" allowBlank="1" showInputMessage="1" showErrorMessage="1" errorTitle="Notice!" error="Physical display size is smaller than mounting pattern!" sqref="K17:K35" xr:uid="{741FB31B-F638-4D41-BE35-574E126DBEA2}">
      <formula1>G16/25.4</formula1>
    </dataValidation>
    <dataValidation type="decimal" errorStyle="warning" operator="greaterThan" allowBlank="1" showInputMessage="1" showErrorMessage="1" errorTitle="Notice!" error="Physical display size is smaller than mounting pattern!" sqref="K36" xr:uid="{B815DE56-D23D-46B4-B110-3D7BAE8E47A5}">
      <formula1>#REF!/25.4</formula1>
    </dataValidation>
  </dataValidations>
  <pageMargins left="0.7" right="0.7" top="0.75" bottom="0.75" header="0.3" footer="0.3"/>
  <pageSetup orientation="portrait" r:id="rId1"/>
  <customProperties>
    <customPr name="EpmWorksheetKeyString_GU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ED014CFB5149AA7EF038A61C07B4" ma:contentTypeVersion="12" ma:contentTypeDescription="Crée un document." ma:contentTypeScope="" ma:versionID="301bcc02c71b04bddaa06a831fb28742">
  <xsd:schema xmlns:xsd="http://www.w3.org/2001/XMLSchema" xmlns:xs="http://www.w3.org/2001/XMLSchema" xmlns:p="http://schemas.microsoft.com/office/2006/metadata/properties" xmlns:ns3="3487937a-0d24-4d2a-bb18-04a0e26626b1" xmlns:ns4="d7f296e3-5d7b-42ee-8841-9d7656658f80" targetNamespace="http://schemas.microsoft.com/office/2006/metadata/properties" ma:root="true" ma:fieldsID="eae69ae14ea0486720798a00244a07d0" ns3:_="" ns4:_="">
    <xsd:import namespace="3487937a-0d24-4d2a-bb18-04a0e26626b1"/>
    <xsd:import namespace="d7f296e3-5d7b-42ee-8841-9d7656658f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7937a-0d24-4d2a-bb18-04a0e2662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296e3-5d7b-42ee-8841-9d7656658f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383F70-64A5-406C-98B7-20253D66F1E5}">
  <ds:schemaRefs>
    <ds:schemaRef ds:uri="d7f296e3-5d7b-42ee-8841-9d7656658f8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487937a-0d24-4d2a-bb18-04a0e26626b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AE6866-7FCA-4F03-B9C9-C549056950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C0A591-F020-43F0-B6F6-177D7EF5E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87937a-0d24-4d2a-bb18-04a0e26626b1"/>
    <ds:schemaRef ds:uri="d7f296e3-5d7b-42ee-8841-9d7656658f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BOM Generator V2</vt:lpstr>
      <vt:lpstr>Video Wall Display Specs</vt:lpstr>
      <vt:lpstr>CRH</vt:lpstr>
      <vt:lpstr>DH</vt:lpstr>
      <vt:lpstr>DO</vt:lpstr>
      <vt:lpstr>DW</vt:lpstr>
      <vt:lpstr>Landscape</vt:lpstr>
      <vt:lpstr>Portrait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Schuh</dc:creator>
  <cp:lastModifiedBy>Mathew Schuh</cp:lastModifiedBy>
  <dcterms:created xsi:type="dcterms:W3CDTF">2020-02-24T15:02:15Z</dcterms:created>
  <dcterms:modified xsi:type="dcterms:W3CDTF">2020-12-30T20:58:48Z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Number">
    <vt:lpwstr>1646</vt:lpwstr>
  </property>
  <property fmtid="{D5CDD505-2E9C-101B-9397-08002B2CF9AE}" pid="3" name="Date">
    <vt:filetime>2020-03-19T00:00:00Z</vt:filetime>
  </property>
  <property fmtid="{D5CDD505-2E9C-101B-9397-08002B2CF9AE}" pid="4" name="Project name">
    <vt:lpwstr>Modular LBM</vt:lpwstr>
  </property>
  <property fmtid="{D5CDD505-2E9C-101B-9397-08002B2CF9AE}" pid="5" name="Workbook id">
    <vt:lpwstr>44236a43-a0e4-45e8-88f2-b2c8285cfbf9</vt:lpwstr>
  </property>
  <property fmtid="{D5CDD505-2E9C-101B-9397-08002B2CF9AE}" pid="6" name="Workbook type">
    <vt:lpwstr>Custom</vt:lpwstr>
  </property>
  <property fmtid="{D5CDD505-2E9C-101B-9397-08002B2CF9AE}" pid="7" name="Workbook version">
    <vt:lpwstr>Custom</vt:lpwstr>
  </property>
  <property fmtid="{D5CDD505-2E9C-101B-9397-08002B2CF9AE}" pid="8" name="ContentTypeId">
    <vt:lpwstr>0x010100F1AAED014CFB5149AA7EF038A61C07B4</vt:lpwstr>
  </property>
</Properties>
</file>