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9630" windowHeight="5685"/>
  </bookViews>
  <sheets>
    <sheet name="FIG11-4" sheetId="5" r:id="rId1"/>
  </sheets>
  <definedNames>
    <definedName name="__123Graph_A" localSheetId="0" hidden="1">'FIG11-4'!$B$32:$M$32</definedName>
    <definedName name="__123Graph_B" localSheetId="0" hidden="1">'FIG11-4'!$B$33:$M$33</definedName>
    <definedName name="__123Graph_X" localSheetId="0" hidden="1">'FIG11-4'!$B$9:$M$9</definedName>
    <definedName name="_Regression_Int" localSheetId="0" hidden="1">1</definedName>
    <definedName name="_xlnm.Print_Area" localSheetId="0">'FIG11-4'!$A$1:$N$33</definedName>
    <definedName name="Print_Area_MI" localSheetId="0">'FIG11-4'!$A$1:$N$33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M16" i="5" l="1"/>
  <c r="M17" i="5" s="1"/>
  <c r="L16" i="5"/>
  <c r="L17" i="5" s="1"/>
  <c r="L25" i="5" s="1"/>
  <c r="K16" i="5"/>
  <c r="K17" i="5" s="1"/>
  <c r="J16" i="5"/>
  <c r="J17" i="5" s="1"/>
  <c r="J25" i="5" s="1"/>
  <c r="I16" i="5"/>
  <c r="I17" i="5" s="1"/>
  <c r="H16" i="5"/>
  <c r="H17" i="5" s="1"/>
  <c r="H25" i="5" s="1"/>
  <c r="G16" i="5"/>
  <c r="G17" i="5" s="1"/>
  <c r="F16" i="5"/>
  <c r="F17" i="5" s="1"/>
  <c r="E16" i="5"/>
  <c r="E17" i="5" s="1"/>
  <c r="D16" i="5"/>
  <c r="D17" i="5" s="1"/>
  <c r="C16" i="5"/>
  <c r="C17" i="5" s="1"/>
  <c r="B16" i="5"/>
  <c r="B17" i="5" s="1"/>
  <c r="B18" i="5" s="1"/>
  <c r="E24" i="5"/>
  <c r="B32" i="5"/>
  <c r="C32" i="5" s="1"/>
  <c r="D32" i="5" s="1"/>
  <c r="E32" i="5" s="1"/>
  <c r="F32" i="5" s="1"/>
  <c r="G32" i="5" s="1"/>
  <c r="H32" i="5" s="1"/>
  <c r="I32" i="5" s="1"/>
  <c r="J32" i="5" s="1"/>
  <c r="K32" i="5" s="1"/>
  <c r="L32" i="5" s="1"/>
  <c r="M32" i="5" s="1"/>
  <c r="M26" i="5"/>
  <c r="L26" i="5"/>
  <c r="K26" i="5"/>
  <c r="J26" i="5"/>
  <c r="I26" i="5"/>
  <c r="H26" i="5"/>
  <c r="G26" i="5"/>
  <c r="F26" i="5"/>
  <c r="E26" i="5"/>
  <c r="D26" i="5"/>
  <c r="C26" i="5"/>
  <c r="B26" i="5"/>
  <c r="M23" i="5"/>
  <c r="L23" i="5"/>
  <c r="K23" i="5"/>
  <c r="J23" i="5"/>
  <c r="I23" i="5"/>
  <c r="H23" i="5"/>
  <c r="G23" i="5"/>
  <c r="F23" i="5"/>
  <c r="E23" i="5"/>
  <c r="D23" i="5"/>
  <c r="C23" i="5"/>
  <c r="B23" i="5"/>
  <c r="M24" i="5"/>
  <c r="J24" i="5"/>
  <c r="I24" i="5"/>
  <c r="F24" i="5"/>
  <c r="C24" i="5"/>
  <c r="N12" i="5"/>
  <c r="N10" i="5"/>
  <c r="N6" i="5"/>
  <c r="K19" i="5" s="1"/>
  <c r="H19" i="5" l="1"/>
  <c r="L19" i="5"/>
  <c r="G24" i="5"/>
  <c r="K24" i="5"/>
  <c r="N16" i="5"/>
  <c r="H24" i="5"/>
  <c r="L24" i="5"/>
  <c r="D19" i="5"/>
  <c r="E19" i="5"/>
  <c r="I19" i="5"/>
  <c r="M19" i="5"/>
  <c r="N23" i="5"/>
  <c r="B20" i="5"/>
  <c r="C15" i="5" s="1"/>
  <c r="C18" i="5" s="1"/>
  <c r="C20" i="5" s="1"/>
  <c r="D15" i="5" s="1"/>
  <c r="D18" i="5" s="1"/>
  <c r="D20" i="5" s="1"/>
  <c r="E15" i="5" s="1"/>
  <c r="E18" i="5" s="1"/>
  <c r="E20" i="5" s="1"/>
  <c r="F15" i="5" s="1"/>
  <c r="F18" i="5" s="1"/>
  <c r="B19" i="5"/>
  <c r="F19" i="5"/>
  <c r="J19" i="5"/>
  <c r="C19" i="5"/>
  <c r="G19" i="5"/>
  <c r="D24" i="5"/>
  <c r="N26" i="5"/>
  <c r="B11" i="5"/>
  <c r="D11" i="5"/>
  <c r="F11" i="5"/>
  <c r="H11" i="5"/>
  <c r="J11" i="5"/>
  <c r="L11" i="5"/>
  <c r="D25" i="5"/>
  <c r="F25" i="5"/>
  <c r="B24" i="5"/>
  <c r="N24" i="5" s="1"/>
  <c r="C11" i="5"/>
  <c r="E11" i="5"/>
  <c r="G11" i="5"/>
  <c r="I11" i="5"/>
  <c r="K11" i="5"/>
  <c r="M11" i="5"/>
  <c r="C25" i="5"/>
  <c r="E25" i="5"/>
  <c r="G25" i="5"/>
  <c r="I25" i="5"/>
  <c r="K25" i="5"/>
  <c r="M25" i="5"/>
  <c r="F20" i="5" l="1"/>
  <c r="G15" i="5" s="1"/>
  <c r="G18" i="5" s="1"/>
  <c r="G20" i="5" s="1"/>
  <c r="H15" i="5" s="1"/>
  <c r="H18" i="5" s="1"/>
  <c r="H20" i="5" s="1"/>
  <c r="I15" i="5" s="1"/>
  <c r="I18" i="5" s="1"/>
  <c r="I20" i="5" s="1"/>
  <c r="J15" i="5" s="1"/>
  <c r="J18" i="5" s="1"/>
  <c r="J20" i="5" s="1"/>
  <c r="K15" i="5" s="1"/>
  <c r="K18" i="5" s="1"/>
  <c r="K20" i="5" s="1"/>
  <c r="L15" i="5" s="1"/>
  <c r="L18" i="5" s="1"/>
  <c r="L20" i="5" s="1"/>
  <c r="M15" i="5" s="1"/>
  <c r="M18" i="5" s="1"/>
  <c r="M20" i="5" s="1"/>
  <c r="B33" i="5"/>
  <c r="C33" i="5" s="1"/>
  <c r="D33" i="5" s="1"/>
  <c r="E33" i="5" s="1"/>
  <c r="F33" i="5" s="1"/>
  <c r="G33" i="5" s="1"/>
  <c r="H33" i="5" s="1"/>
  <c r="I33" i="5" s="1"/>
  <c r="J33" i="5" s="1"/>
  <c r="K33" i="5" s="1"/>
  <c r="L33" i="5" s="1"/>
  <c r="M33" i="5" s="1"/>
  <c r="B25" i="5"/>
  <c r="N17" i="5"/>
  <c r="N11" i="5"/>
  <c r="B21" i="5" l="1"/>
  <c r="B29" i="5" s="1"/>
  <c r="N25" i="5"/>
  <c r="B27" i="5" l="1"/>
  <c r="C21" i="5" l="1"/>
  <c r="C29" i="5" s="1"/>
  <c r="B28" i="5"/>
  <c r="C27" i="5" l="1"/>
  <c r="C28" i="5" l="1"/>
  <c r="D21" i="5"/>
  <c r="D29" i="5" s="1"/>
  <c r="D27" i="5" l="1"/>
  <c r="E21" i="5" l="1"/>
  <c r="E29" i="5" s="1"/>
  <c r="D28" i="5"/>
  <c r="E27" i="5" l="1"/>
  <c r="E28" i="5" l="1"/>
  <c r="F21" i="5"/>
  <c r="F29" i="5" s="1"/>
  <c r="F27" i="5" l="1"/>
  <c r="G21" i="5" l="1"/>
  <c r="G29" i="5" s="1"/>
  <c r="F28" i="5"/>
  <c r="G27" i="5" l="1"/>
  <c r="G28" i="5" s="1"/>
  <c r="H21" i="5" l="1"/>
  <c r="H29" i="5" s="1"/>
  <c r="H27" i="5" l="1"/>
  <c r="H28" i="5" s="1"/>
  <c r="I21" i="5" l="1"/>
  <c r="I29" i="5" s="1"/>
  <c r="I27" i="5" l="1"/>
  <c r="I28" i="5" s="1"/>
  <c r="J21" i="5" l="1"/>
  <c r="J29" i="5" s="1"/>
  <c r="J27" i="5" l="1"/>
  <c r="J28" i="5" s="1"/>
  <c r="K21" i="5" l="1"/>
  <c r="K29" i="5" s="1"/>
  <c r="K27" i="5" l="1"/>
  <c r="K28" i="5" s="1"/>
  <c r="L21" i="5" l="1"/>
  <c r="L29" i="5" s="1"/>
  <c r="L27" i="5" l="1"/>
  <c r="L28" i="5" s="1"/>
  <c r="M21" i="5" l="1"/>
  <c r="M29" i="5" s="1"/>
  <c r="N29" i="5" s="1"/>
  <c r="M27" i="5"/>
  <c r="M28" i="5" l="1"/>
  <c r="N27" i="5"/>
  <c r="N28" i="5" s="1"/>
  <c r="N30" i="5" s="1"/>
</calcChain>
</file>

<file path=xl/sharedStrings.xml><?xml version="1.0" encoding="utf-8"?>
<sst xmlns="http://schemas.openxmlformats.org/spreadsheetml/2006/main" count="63" uniqueCount="62">
  <si>
    <t>POLICY:  Schedule follows demand without shortages</t>
  </si>
  <si>
    <t>DATA:</t>
  </si>
  <si>
    <t>Capacity</t>
  </si>
  <si>
    <t>Cost/month</t>
  </si>
  <si>
    <t xml:space="preserve"> </t>
  </si>
  <si>
    <t>On operations:</t>
  </si>
  <si>
    <t>1000 cases</t>
  </si>
  <si>
    <t>in $1000</t>
  </si>
  <si>
    <t>1 shift</t>
  </si>
  <si>
    <t>1 shift o/time</t>
  </si>
  <si>
    <t>2 shifts</t>
  </si>
  <si>
    <t>Desired ending stock</t>
  </si>
  <si>
    <t>2 shifts o/time</t>
  </si>
  <si>
    <t>Revenue/1000 cases</t>
  </si>
  <si>
    <t>Raw materials/1000 cases</t>
  </si>
  <si>
    <t>Holding cost/1000 cases</t>
  </si>
  <si>
    <t>Shift change cost/up</t>
  </si>
  <si>
    <t>Shift change cost/down</t>
  </si>
  <si>
    <t>Month: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</si>
  <si>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</si>
  <si>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</si>
  <si>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</si>
  <si>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</si>
  <si>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</si>
  <si>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</si>
  <si>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</si>
  <si>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</si>
  <si>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</si>
  <si>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</si>
  <si>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</si>
  <si>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</si>
  <si>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TOTAL</t>
  </si>
  <si>
    <t>Sales percent</t>
  </si>
  <si>
    <t>Potential sales</t>
  </si>
  <si>
    <t>Total production</t>
  </si>
  <si>
    <t>Shift level</t>
  </si>
  <si>
    <t>Product transactions:</t>
  </si>
  <si>
    <t>Beginning stock</t>
  </si>
  <si>
    <t>R/T output</t>
  </si>
  <si>
    <t>O/T output</t>
  </si>
  <si>
    <t>Amt available</t>
  </si>
  <si>
    <t>Ending stock</t>
  </si>
  <si>
    <t>Lost sales</t>
  </si>
  <si>
    <t>Variable costs/month:</t>
  </si>
  <si>
    <t>Materials</t>
  </si>
  <si>
    <t>R/T shift cost</t>
  </si>
  <si>
    <t>O/T shift cost</t>
  </si>
  <si>
    <t>Holding cost</t>
  </si>
  <si>
    <t>Total cost</t>
  </si>
  <si>
    <t>Revenue</t>
  </si>
  <si>
    <t>Total revenue minus total variable cost</t>
  </si>
  <si>
    <t>Cumulative output</t>
  </si>
  <si>
    <t>Cumulative sales</t>
  </si>
  <si>
    <t>Other revenues and costs in $1000:</t>
  </si>
  <si>
    <t>Sales projections</t>
  </si>
  <si>
    <t>Sales last year in 1000 cases</t>
  </si>
  <si>
    <t>Annual percentage growth</t>
  </si>
  <si>
    <t>Sales forecast coming year</t>
  </si>
  <si>
    <t>Actual sales</t>
  </si>
  <si>
    <t>Shift change</t>
  </si>
  <si>
    <r>
      <t>Figure 11-4:</t>
    </r>
    <r>
      <rPr>
        <sz val="9"/>
        <rFont val="Arial"/>
        <family val="2"/>
      </rPr>
      <t xml:space="preserve"> CRYSTAL NATURAL MINERAL WATER COMPANY </t>
    </r>
  </si>
  <si>
    <r>
      <t>Management Science</t>
    </r>
    <r>
      <rPr>
        <b/>
        <sz val="10"/>
        <rFont val="Arial"/>
        <family val="2"/>
      </rPr>
      <t>, © H.G. Daellenbach, D.C. McNickle and S. Dye, 2012, Palgrave Publishers Ltd</t>
    </r>
    <r>
      <rPr>
        <i/>
        <sz val="1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</si>
</sst>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0.0%"/>
    <numFmt numFmtId="166" formatCode="&quot;$&quot;General"/>
  </numFmts>
  <fonts count="8">
    <font>
      <sz val="10"/>
      <name val="Courier"/>
    </font>
    <font>
      <b/>
      <sz val="8"/>
      <name val="Univers (WN)"/>
    </font>
    <font>
      <b/>
      <sz val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164" fontId="0" fillId="0" borderId="0"/>
    <xf numFmtId="9" fontId="7" fillId="0" borderId="0" applyFont="0" applyFill="0" applyBorder="0" applyAlignment="0" applyProtection="0"/>
  </cellStyleXfs>
  <cellXfs count="52">
    <xf numFmtId="164" fontId="0" fillId="0" borderId="0" xfId="0"/>
    <xf numFmtId="164" fontId="2" fillId="0" borderId="0" xfId="0" applyFont="1" applyFill="1" applyBorder="1" applyAlignment="1" applyProtection="1">
      <alignment horizontal="left"/>
    </xf>
    <xf numFmtId="164" fontId="3" fillId="0" borderId="0" xfId="0" applyFont="1" applyFill="1" applyBorder="1"/>
    <xf numFmtId="164" fontId="3" fillId="0" borderId="5" xfId="0" applyFont="1" applyFill="1" applyBorder="1"/>
    <xf numFmtId="164" fontId="0" fillId="0" borderId="0" xfId="0" applyFill="1"/>
    <xf numFmtId="164" fontId="3" fillId="0" borderId="8" xfId="0" applyFont="1" applyFill="1" applyBorder="1"/>
    <xf numFmtId="164" fontId="2" fillId="0" borderId="1" xfId="0" applyFont="1" applyFill="1" applyBorder="1"/>
    <xf numFmtId="164" fontId="3" fillId="0" borderId="2" xfId="0" applyFont="1" applyFill="1" applyBorder="1"/>
    <xf numFmtId="164" fontId="3" fillId="0" borderId="2" xfId="0" applyFont="1" applyFill="1" applyBorder="1" applyAlignment="1" applyProtection="1">
      <alignment horizontal="center"/>
    </xf>
    <xf numFmtId="164" fontId="3" fillId="0" borderId="3" xfId="0" applyFont="1" applyFill="1" applyBorder="1" applyAlignment="1" applyProtection="1">
      <alignment horizontal="right"/>
    </xf>
    <xf numFmtId="164" fontId="3" fillId="0" borderId="1" xfId="0" applyFont="1" applyFill="1" applyBorder="1"/>
    <xf numFmtId="164" fontId="3" fillId="0" borderId="2" xfId="0" quotePrefix="1" applyFont="1" applyFill="1" applyBorder="1" applyAlignment="1">
      <alignment horizontal="right"/>
    </xf>
    <xf numFmtId="164" fontId="3" fillId="0" borderId="3" xfId="0" applyFont="1" applyFill="1" applyBorder="1"/>
    <xf numFmtId="164" fontId="3" fillId="0" borderId="1" xfId="0" applyFont="1" applyFill="1" applyBorder="1" applyAlignment="1" applyProtection="1">
      <alignment horizontal="left"/>
    </xf>
    <xf numFmtId="164" fontId="3" fillId="0" borderId="4" xfId="0" applyFont="1" applyFill="1" applyBorder="1" applyAlignment="1" applyProtection="1">
      <alignment horizontal="left"/>
    </xf>
    <xf numFmtId="164" fontId="3" fillId="0" borderId="0" xfId="0" applyFont="1" applyFill="1" applyBorder="1" applyAlignment="1">
      <alignment horizontal="center"/>
    </xf>
    <xf numFmtId="164" fontId="3" fillId="0" borderId="0" xfId="0" applyFont="1" applyFill="1" applyBorder="1" applyProtection="1"/>
    <xf numFmtId="164" fontId="0" fillId="0" borderId="5" xfId="0" applyFill="1" applyBorder="1"/>
    <xf numFmtId="164" fontId="0" fillId="0" borderId="4" xfId="0" applyFill="1" applyBorder="1"/>
    <xf numFmtId="164" fontId="0" fillId="0" borderId="0" xfId="0" applyFill="1" applyBorder="1"/>
    <xf numFmtId="164" fontId="3" fillId="0" borderId="6" xfId="0" applyFont="1" applyFill="1" applyBorder="1" applyAlignment="1" applyProtection="1">
      <alignment horizontal="left"/>
    </xf>
    <xf numFmtId="164" fontId="3" fillId="0" borderId="7" xfId="0" applyFont="1" applyFill="1" applyBorder="1"/>
    <xf numFmtId="164" fontId="3" fillId="0" borderId="7" xfId="0" applyFont="1" applyFill="1" applyBorder="1" applyProtection="1"/>
    <xf numFmtId="164" fontId="3" fillId="0" borderId="7" xfId="0" applyFont="1" applyFill="1" applyBorder="1" applyAlignment="1" applyProtection="1">
      <alignment horizontal="left"/>
    </xf>
    <xf numFmtId="164" fontId="3" fillId="0" borderId="2" xfId="0" applyFont="1" applyFill="1" applyBorder="1" applyAlignment="1" applyProtection="1">
      <alignment horizontal="right"/>
    </xf>
    <xf numFmtId="164" fontId="3" fillId="0" borderId="3" xfId="0" applyFont="1" applyFill="1" applyBorder="1" applyAlignment="1">
      <alignment horizontal="right"/>
    </xf>
    <xf numFmtId="164" fontId="2" fillId="0" borderId="1" xfId="0" applyFont="1" applyFill="1" applyBorder="1" applyAlignment="1" applyProtection="1">
      <alignment horizontal="left"/>
    </xf>
    <xf numFmtId="164" fontId="3" fillId="0" borderId="3" xfId="0" applyFont="1" applyFill="1" applyBorder="1" applyAlignment="1" applyProtection="1">
      <alignment horizontal="left"/>
    </xf>
    <xf numFmtId="164" fontId="0" fillId="0" borderId="6" xfId="0" applyFill="1" applyBorder="1"/>
    <xf numFmtId="164" fontId="0" fillId="0" borderId="7" xfId="0" applyFill="1" applyBorder="1"/>
    <xf numFmtId="164" fontId="1" fillId="0" borderId="4" xfId="0" applyFont="1" applyFill="1" applyBorder="1"/>
    <xf numFmtId="164" fontId="1" fillId="0" borderId="0" xfId="0" applyFont="1" applyFill="1" applyBorder="1"/>
    <xf numFmtId="164" fontId="1" fillId="0" borderId="5" xfId="0" applyFont="1" applyFill="1" applyBorder="1"/>
    <xf numFmtId="164" fontId="0" fillId="0" borderId="2" xfId="0" applyFill="1" applyBorder="1"/>
    <xf numFmtId="164" fontId="3" fillId="2" borderId="4" xfId="0" applyFont="1" applyFill="1" applyBorder="1" applyAlignment="1" applyProtection="1">
      <alignment horizontal="left"/>
    </xf>
    <xf numFmtId="164" fontId="3" fillId="2" borderId="6" xfId="0" applyFont="1" applyFill="1" applyBorder="1" applyAlignment="1" applyProtection="1">
      <alignment horizontal="left"/>
    </xf>
    <xf numFmtId="164" fontId="3" fillId="0" borderId="7" xfId="0" applyFont="1" applyFill="1" applyBorder="1" applyAlignment="1">
      <alignment horizontal="right"/>
    </xf>
    <xf numFmtId="165" fontId="3" fillId="0" borderId="0" xfId="1" applyNumberFormat="1" applyFont="1" applyFill="1" applyBorder="1" applyProtection="1"/>
    <xf numFmtId="9" fontId="3" fillId="0" borderId="5" xfId="1" applyFont="1" applyFill="1" applyBorder="1" applyProtection="1"/>
    <xf numFmtId="0" fontId="3" fillId="0" borderId="0" xfId="0" applyNumberFormat="1" applyFont="1" applyFill="1" applyBorder="1" applyProtection="1"/>
    <xf numFmtId="0" fontId="3" fillId="0" borderId="7" xfId="0" applyNumberFormat="1" applyFont="1" applyFill="1" applyBorder="1" applyProtection="1"/>
    <xf numFmtId="166" fontId="3" fillId="0" borderId="0" xfId="0" applyNumberFormat="1" applyFont="1" applyFill="1" applyBorder="1" applyProtection="1"/>
    <xf numFmtId="0" fontId="3" fillId="0" borderId="5" xfId="0" applyNumberFormat="1" applyFont="1" applyFill="1" applyBorder="1" applyProtection="1"/>
    <xf numFmtId="0" fontId="3" fillId="2" borderId="0" xfId="0" applyNumberFormat="1" applyFont="1" applyFill="1" applyBorder="1" applyProtection="1"/>
    <xf numFmtId="0" fontId="3" fillId="2" borderId="7" xfId="0" applyNumberFormat="1" applyFont="1" applyFill="1" applyBorder="1" applyProtection="1"/>
    <xf numFmtId="0" fontId="3" fillId="0" borderId="8" xfId="0" applyNumberFormat="1" applyFont="1" applyFill="1" applyBorder="1"/>
    <xf numFmtId="0" fontId="3" fillId="0" borderId="5" xfId="0" applyNumberFormat="1" applyFont="1" applyFill="1" applyBorder="1"/>
    <xf numFmtId="0" fontId="3" fillId="0" borderId="8" xfId="0" applyNumberFormat="1" applyFont="1" applyFill="1" applyBorder="1" applyAlignment="1" applyProtection="1">
      <alignment horizontal="left"/>
    </xf>
    <xf numFmtId="166" fontId="3" fillId="0" borderId="5" xfId="0" applyNumberFormat="1" applyFont="1" applyFill="1" applyBorder="1" applyProtection="1"/>
    <xf numFmtId="166" fontId="3" fillId="0" borderId="8" xfId="0" applyNumberFormat="1" applyFont="1" applyFill="1" applyBorder="1" applyProtection="1"/>
    <xf numFmtId="164" fontId="3" fillId="0" borderId="5" xfId="0" quotePrefix="1" applyFont="1" applyFill="1" applyBorder="1" applyAlignment="1">
      <alignment horizontal="right"/>
    </xf>
    <xf numFmtId="0" fontId="4" fillId="0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35"/>
  <sheetViews>
    <sheetView tabSelected="1" workbookViewId="0">
      <selection activeCell="A2" sqref="A2"/>
    </sheetView>
  </sheetViews>
  <sheetFormatPr defaultColWidth="5.625" defaultRowHeight="12"/>
  <cols>
    <col min="1" max="1" width="13.125" style="4" customWidth="1"/>
    <col min="2" max="13" width="6.75" style="4" customWidth="1"/>
    <col min="14" max="14" width="7.125" style="4" customWidth="1"/>
    <col min="15" max="16384" width="5.625" style="4"/>
  </cols>
  <sheetData>
    <row r="1" spans="1:14" ht="12.75">
      <c r="A1" s="1" t="s">
        <v>60</v>
      </c>
      <c r="B1" s="2"/>
      <c r="C1" s="2"/>
      <c r="D1" s="2"/>
      <c r="E1" s="2"/>
      <c r="G1" s="2"/>
      <c r="H1" s="2" t="s">
        <v>0</v>
      </c>
      <c r="I1" s="2"/>
      <c r="J1" s="2"/>
      <c r="K1" s="2"/>
      <c r="L1" s="2"/>
      <c r="M1" s="2"/>
      <c r="N1" s="3"/>
    </row>
    <row r="2" spans="1:14" ht="12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1:14" ht="12.75">
      <c r="A3" s="6" t="s">
        <v>1</v>
      </c>
      <c r="B3" s="7"/>
      <c r="C3" s="8" t="s">
        <v>2</v>
      </c>
      <c r="D3" s="7"/>
      <c r="E3" s="9" t="s">
        <v>3</v>
      </c>
      <c r="F3" s="10" t="s">
        <v>53</v>
      </c>
      <c r="G3" s="7"/>
      <c r="H3" s="7"/>
      <c r="I3" s="11"/>
      <c r="J3" s="13" t="s">
        <v>54</v>
      </c>
      <c r="K3" s="33"/>
      <c r="L3" s="7"/>
      <c r="M3" s="7"/>
      <c r="N3" s="12"/>
    </row>
    <row r="4" spans="1:14" ht="12.75">
      <c r="A4" s="14" t="s">
        <v>5</v>
      </c>
      <c r="B4" s="2"/>
      <c r="C4" s="15" t="s">
        <v>6</v>
      </c>
      <c r="D4" s="2"/>
      <c r="E4" s="50" t="s">
        <v>7</v>
      </c>
      <c r="F4" s="14" t="s">
        <v>14</v>
      </c>
      <c r="G4" s="2"/>
      <c r="H4" s="2"/>
      <c r="I4" s="41">
        <v>3.1</v>
      </c>
      <c r="J4" s="14" t="s">
        <v>55</v>
      </c>
      <c r="K4" s="19"/>
      <c r="L4" s="2"/>
      <c r="M4" s="2"/>
      <c r="N4" s="42">
        <v>4900</v>
      </c>
    </row>
    <row r="5" spans="1:14" ht="12.75">
      <c r="A5" s="14" t="s">
        <v>8</v>
      </c>
      <c r="B5" s="2"/>
      <c r="C5" s="39">
        <v>288</v>
      </c>
      <c r="D5" s="2"/>
      <c r="E5" s="41">
        <v>24</v>
      </c>
      <c r="F5" s="14" t="s">
        <v>15</v>
      </c>
      <c r="G5" s="2"/>
      <c r="H5" s="2"/>
      <c r="I5" s="41">
        <v>0.15</v>
      </c>
      <c r="J5" s="14" t="s">
        <v>56</v>
      </c>
      <c r="K5" s="19"/>
      <c r="L5" s="2"/>
      <c r="M5" s="2"/>
      <c r="N5" s="38">
        <v>0.05</v>
      </c>
    </row>
    <row r="6" spans="1:14" ht="12.75">
      <c r="A6" s="14" t="s">
        <v>9</v>
      </c>
      <c r="B6" s="2"/>
      <c r="C6" s="39">
        <v>72</v>
      </c>
      <c r="D6" s="2"/>
      <c r="E6" s="41">
        <v>9</v>
      </c>
      <c r="F6" s="14" t="s">
        <v>16</v>
      </c>
      <c r="G6" s="2"/>
      <c r="H6" s="2"/>
      <c r="I6" s="41">
        <v>18</v>
      </c>
      <c r="J6" s="14" t="s">
        <v>57</v>
      </c>
      <c r="K6" s="19"/>
      <c r="L6" s="2"/>
      <c r="M6" s="2"/>
      <c r="N6" s="42">
        <f>N4*(1+N5)</f>
        <v>5145</v>
      </c>
    </row>
    <row r="7" spans="1:14" ht="12.75">
      <c r="A7" s="14" t="s">
        <v>10</v>
      </c>
      <c r="B7" s="2"/>
      <c r="C7" s="39">
        <v>540</v>
      </c>
      <c r="D7" s="2"/>
      <c r="E7" s="41">
        <v>48</v>
      </c>
      <c r="F7" s="14" t="s">
        <v>17</v>
      </c>
      <c r="G7" s="2"/>
      <c r="H7" s="2"/>
      <c r="I7" s="41">
        <v>15</v>
      </c>
      <c r="J7" s="18"/>
      <c r="K7" s="19"/>
      <c r="L7" s="19"/>
      <c r="M7" s="19"/>
      <c r="N7" s="17"/>
    </row>
    <row r="8" spans="1:14" ht="12.75">
      <c r="A8" s="20" t="s">
        <v>12</v>
      </c>
      <c r="B8" s="21"/>
      <c r="C8" s="40">
        <v>125</v>
      </c>
      <c r="D8" s="21"/>
      <c r="E8" s="41">
        <v>18</v>
      </c>
      <c r="F8" s="20" t="s">
        <v>13</v>
      </c>
      <c r="G8" s="21"/>
      <c r="H8" s="23"/>
      <c r="I8" s="41">
        <v>3.5</v>
      </c>
      <c r="J8" s="20" t="s">
        <v>11</v>
      </c>
      <c r="K8" s="29"/>
      <c r="L8" s="21"/>
      <c r="M8" s="21"/>
      <c r="N8" s="42">
        <v>50</v>
      </c>
    </row>
    <row r="9" spans="1:14" ht="12.75">
      <c r="A9" s="13" t="s">
        <v>18</v>
      </c>
      <c r="B9" s="24" t="s">
        <v>19</v>
      </c>
      <c r="C9" s="24" t="s">
        <v>20</v>
      </c>
      <c r="D9" s="24" t="s">
        <v>21</v>
      </c>
      <c r="E9" s="24" t="s">
        <v>22</v>
      </c>
      <c r="F9" s="24" t="s">
        <v>23</v>
      </c>
      <c r="G9" s="24" t="s">
        <v>24</v>
      </c>
      <c r="H9" s="24" t="s">
        <v>25</v>
      </c>
      <c r="I9" s="24" t="s">
        <v>26</v>
      </c>
      <c r="J9" s="24" t="s">
        <v>27</v>
      </c>
      <c r="K9" s="24" t="s">
        <v>28</v>
      </c>
      <c r="L9" s="24" t="s">
        <v>29</v>
      </c>
      <c r="M9" s="24" t="s">
        <v>30</v>
      </c>
      <c r="N9" s="25" t="s">
        <v>31</v>
      </c>
    </row>
    <row r="10" spans="1:14" ht="12.75">
      <c r="A10" s="14" t="s">
        <v>32</v>
      </c>
      <c r="B10" s="37">
        <v>3.5000000000000003E-2</v>
      </c>
      <c r="C10" s="37">
        <v>3.1E-2</v>
      </c>
      <c r="D10" s="37">
        <v>4.7E-2</v>
      </c>
      <c r="E10" s="37">
        <v>0.08</v>
      </c>
      <c r="F10" s="37">
        <v>7.3999999999999996E-2</v>
      </c>
      <c r="G10" s="37">
        <v>0.10299999999999999</v>
      </c>
      <c r="H10" s="37">
        <v>0.13800000000000001</v>
      </c>
      <c r="I10" s="37">
        <v>0.14399999999999999</v>
      </c>
      <c r="J10" s="37">
        <v>0.14000000000000001</v>
      </c>
      <c r="K10" s="37">
        <v>9.9000000000000005E-2</v>
      </c>
      <c r="L10" s="37">
        <v>4.7E-2</v>
      </c>
      <c r="M10" s="37">
        <v>6.2E-2</v>
      </c>
      <c r="N10" s="38">
        <f>SUM(B10:M10)</f>
        <v>1</v>
      </c>
    </row>
    <row r="11" spans="1:14" ht="12.75">
      <c r="A11" s="14" t="s">
        <v>33</v>
      </c>
      <c r="B11" s="39">
        <f>ROUND(B10*($N$6)+0.5,0)</f>
        <v>181</v>
      </c>
      <c r="C11" s="39">
        <f t="shared" ref="C11:M11" si="0">ROUND(C10*($N$6)+0.5,0)</f>
        <v>160</v>
      </c>
      <c r="D11" s="39">
        <f t="shared" si="0"/>
        <v>242</v>
      </c>
      <c r="E11" s="39">
        <f t="shared" si="0"/>
        <v>412</v>
      </c>
      <c r="F11" s="39">
        <f t="shared" si="0"/>
        <v>381</v>
      </c>
      <c r="G11" s="39">
        <f t="shared" si="0"/>
        <v>530</v>
      </c>
      <c r="H11" s="39">
        <f t="shared" si="0"/>
        <v>711</v>
      </c>
      <c r="I11" s="39">
        <f t="shared" si="0"/>
        <v>741</v>
      </c>
      <c r="J11" s="39">
        <f t="shared" si="0"/>
        <v>721</v>
      </c>
      <c r="K11" s="39">
        <f t="shared" si="0"/>
        <v>510</v>
      </c>
      <c r="L11" s="39">
        <f t="shared" si="0"/>
        <v>242</v>
      </c>
      <c r="M11" s="39">
        <f t="shared" si="0"/>
        <v>319</v>
      </c>
      <c r="N11" s="42">
        <f>SUM(B11:M11)</f>
        <v>5150</v>
      </c>
    </row>
    <row r="12" spans="1:14" ht="12.75">
      <c r="A12" s="34" t="s">
        <v>34</v>
      </c>
      <c r="B12" s="43">
        <v>131</v>
      </c>
      <c r="C12" s="43">
        <v>160</v>
      </c>
      <c r="D12" s="43">
        <v>294</v>
      </c>
      <c r="E12" s="43">
        <v>360</v>
      </c>
      <c r="F12" s="43">
        <v>424</v>
      </c>
      <c r="G12" s="43">
        <v>665</v>
      </c>
      <c r="H12" s="43">
        <v>665</v>
      </c>
      <c r="I12" s="43">
        <v>665</v>
      </c>
      <c r="J12" s="43">
        <v>665</v>
      </c>
      <c r="K12" s="43">
        <v>510</v>
      </c>
      <c r="L12" s="43">
        <v>251</v>
      </c>
      <c r="M12" s="43">
        <v>360</v>
      </c>
      <c r="N12" s="42">
        <f>SUM(B12:M12)</f>
        <v>5150</v>
      </c>
    </row>
    <row r="13" spans="1:14" ht="12.75">
      <c r="A13" s="35" t="s">
        <v>35</v>
      </c>
      <c r="B13" s="44">
        <v>1</v>
      </c>
      <c r="C13" s="44">
        <v>1</v>
      </c>
      <c r="D13" s="44">
        <v>1</v>
      </c>
      <c r="E13" s="44">
        <v>1</v>
      </c>
      <c r="F13" s="44">
        <v>2</v>
      </c>
      <c r="G13" s="44">
        <v>2</v>
      </c>
      <c r="H13" s="44">
        <v>2</v>
      </c>
      <c r="I13" s="44">
        <v>2</v>
      </c>
      <c r="J13" s="44">
        <v>2</v>
      </c>
      <c r="K13" s="44">
        <v>2</v>
      </c>
      <c r="L13" s="44">
        <v>1</v>
      </c>
      <c r="M13" s="44">
        <v>1</v>
      </c>
      <c r="N13" s="45"/>
    </row>
    <row r="14" spans="1:14" ht="12.75">
      <c r="A14" s="26" t="s">
        <v>36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2"/>
    </row>
    <row r="15" spans="1:14" ht="12.75">
      <c r="A15" s="14" t="s">
        <v>37</v>
      </c>
      <c r="B15" s="39">
        <v>50</v>
      </c>
      <c r="C15" s="39">
        <f t="shared" ref="C15:M15" si="1">B20</f>
        <v>0</v>
      </c>
      <c r="D15" s="39">
        <f t="shared" si="1"/>
        <v>0</v>
      </c>
      <c r="E15" s="39">
        <f t="shared" si="1"/>
        <v>52</v>
      </c>
      <c r="F15" s="39">
        <f t="shared" si="1"/>
        <v>0</v>
      </c>
      <c r="G15" s="39">
        <f t="shared" si="1"/>
        <v>43</v>
      </c>
      <c r="H15" s="39">
        <f t="shared" si="1"/>
        <v>178</v>
      </c>
      <c r="I15" s="39">
        <f t="shared" si="1"/>
        <v>132</v>
      </c>
      <c r="J15" s="39">
        <f t="shared" si="1"/>
        <v>56</v>
      </c>
      <c r="K15" s="39">
        <f t="shared" si="1"/>
        <v>0</v>
      </c>
      <c r="L15" s="39">
        <f t="shared" si="1"/>
        <v>0</v>
      </c>
      <c r="M15" s="39">
        <f t="shared" si="1"/>
        <v>9</v>
      </c>
      <c r="N15" s="46"/>
    </row>
    <row r="16" spans="1:14" ht="12.75">
      <c r="A16" s="14" t="s">
        <v>38</v>
      </c>
      <c r="B16" s="39">
        <f t="shared" ref="B16:M16" si="2">IF(B12&lt;=$C$5,B12,IF(B12&lt;=$C$5+$C$6,$C$5,IF(B12&gt;$C$7,$C$7,B12)))</f>
        <v>131</v>
      </c>
      <c r="C16" s="39">
        <f t="shared" si="2"/>
        <v>160</v>
      </c>
      <c r="D16" s="39">
        <f t="shared" si="2"/>
        <v>288</v>
      </c>
      <c r="E16" s="39">
        <f t="shared" si="2"/>
        <v>288</v>
      </c>
      <c r="F16" s="39">
        <f t="shared" si="2"/>
        <v>424</v>
      </c>
      <c r="G16" s="39">
        <f t="shared" si="2"/>
        <v>540</v>
      </c>
      <c r="H16" s="39">
        <f t="shared" si="2"/>
        <v>540</v>
      </c>
      <c r="I16" s="39">
        <f t="shared" si="2"/>
        <v>540</v>
      </c>
      <c r="J16" s="39">
        <f t="shared" si="2"/>
        <v>540</v>
      </c>
      <c r="K16" s="39">
        <f t="shared" si="2"/>
        <v>510</v>
      </c>
      <c r="L16" s="39">
        <f t="shared" si="2"/>
        <v>251</v>
      </c>
      <c r="M16" s="39">
        <f t="shared" si="2"/>
        <v>288</v>
      </c>
      <c r="N16" s="42">
        <f>SUM(B16:M16)</f>
        <v>4500</v>
      </c>
    </row>
    <row r="17" spans="1:14" ht="12.75">
      <c r="A17" s="14" t="s">
        <v>39</v>
      </c>
      <c r="B17" s="39">
        <f t="shared" ref="B17:M17" si="3">IF(B12&gt;B16,B12-B16,0)</f>
        <v>0</v>
      </c>
      <c r="C17" s="39">
        <f t="shared" si="3"/>
        <v>0</v>
      </c>
      <c r="D17" s="39">
        <f t="shared" si="3"/>
        <v>6</v>
      </c>
      <c r="E17" s="39">
        <f t="shared" si="3"/>
        <v>72</v>
      </c>
      <c r="F17" s="39">
        <f t="shared" si="3"/>
        <v>0</v>
      </c>
      <c r="G17" s="39">
        <f t="shared" si="3"/>
        <v>125</v>
      </c>
      <c r="H17" s="39">
        <f t="shared" si="3"/>
        <v>125</v>
      </c>
      <c r="I17" s="39">
        <f t="shared" si="3"/>
        <v>125</v>
      </c>
      <c r="J17" s="39">
        <f t="shared" si="3"/>
        <v>125</v>
      </c>
      <c r="K17" s="39">
        <f t="shared" si="3"/>
        <v>0</v>
      </c>
      <c r="L17" s="39">
        <f t="shared" si="3"/>
        <v>0</v>
      </c>
      <c r="M17" s="39">
        <f t="shared" si="3"/>
        <v>72</v>
      </c>
      <c r="N17" s="42">
        <f>SUM(B17:M17)</f>
        <v>650</v>
      </c>
    </row>
    <row r="18" spans="1:14" ht="12.75">
      <c r="A18" s="14" t="s">
        <v>40</v>
      </c>
      <c r="B18" s="39">
        <f t="shared" ref="B18:M18" si="4">B15+B17+B16</f>
        <v>181</v>
      </c>
      <c r="C18" s="39">
        <f t="shared" si="4"/>
        <v>160</v>
      </c>
      <c r="D18" s="39">
        <f t="shared" si="4"/>
        <v>294</v>
      </c>
      <c r="E18" s="39">
        <f t="shared" si="4"/>
        <v>412</v>
      </c>
      <c r="F18" s="39">
        <f t="shared" si="4"/>
        <v>424</v>
      </c>
      <c r="G18" s="39">
        <f t="shared" si="4"/>
        <v>708</v>
      </c>
      <c r="H18" s="39">
        <f t="shared" si="4"/>
        <v>843</v>
      </c>
      <c r="I18" s="39">
        <f t="shared" si="4"/>
        <v>797</v>
      </c>
      <c r="J18" s="39">
        <f t="shared" si="4"/>
        <v>721</v>
      </c>
      <c r="K18" s="39">
        <f t="shared" si="4"/>
        <v>510</v>
      </c>
      <c r="L18" s="39">
        <f t="shared" si="4"/>
        <v>251</v>
      </c>
      <c r="M18" s="39">
        <f t="shared" si="4"/>
        <v>369</v>
      </c>
      <c r="N18" s="46"/>
    </row>
    <row r="19" spans="1:14" ht="12.75">
      <c r="A19" s="14" t="s">
        <v>58</v>
      </c>
      <c r="B19" s="39">
        <f>ROUND(B10*($N$6)+0.5,0)</f>
        <v>181</v>
      </c>
      <c r="C19" s="39">
        <f t="shared" ref="C19:M19" si="5">ROUND(C10*($N$6)+0.5,0)</f>
        <v>160</v>
      </c>
      <c r="D19" s="39">
        <f t="shared" si="5"/>
        <v>242</v>
      </c>
      <c r="E19" s="39">
        <f t="shared" si="5"/>
        <v>412</v>
      </c>
      <c r="F19" s="39">
        <f t="shared" si="5"/>
        <v>381</v>
      </c>
      <c r="G19" s="39">
        <f t="shared" si="5"/>
        <v>530</v>
      </c>
      <c r="H19" s="39">
        <f t="shared" si="5"/>
        <v>711</v>
      </c>
      <c r="I19" s="39">
        <f t="shared" si="5"/>
        <v>741</v>
      </c>
      <c r="J19" s="39">
        <f t="shared" si="5"/>
        <v>721</v>
      </c>
      <c r="K19" s="39">
        <f t="shared" si="5"/>
        <v>510</v>
      </c>
      <c r="L19" s="39">
        <f t="shared" si="5"/>
        <v>242</v>
      </c>
      <c r="M19" s="39">
        <f t="shared" si="5"/>
        <v>319</v>
      </c>
      <c r="N19" s="46"/>
    </row>
    <row r="20" spans="1:14" ht="12.75">
      <c r="A20" s="14" t="s">
        <v>41</v>
      </c>
      <c r="B20" s="39">
        <f t="shared" ref="B20:M20" si="6">IF(B18-B19&lt;=0,0,B18-B19)</f>
        <v>0</v>
      </c>
      <c r="C20" s="39">
        <f t="shared" si="6"/>
        <v>0</v>
      </c>
      <c r="D20" s="39">
        <f t="shared" si="6"/>
        <v>52</v>
      </c>
      <c r="E20" s="39">
        <f t="shared" si="6"/>
        <v>0</v>
      </c>
      <c r="F20" s="39">
        <f t="shared" si="6"/>
        <v>43</v>
      </c>
      <c r="G20" s="39">
        <f t="shared" si="6"/>
        <v>178</v>
      </c>
      <c r="H20" s="39">
        <f t="shared" si="6"/>
        <v>132</v>
      </c>
      <c r="I20" s="39">
        <f t="shared" si="6"/>
        <v>56</v>
      </c>
      <c r="J20" s="39">
        <f t="shared" si="6"/>
        <v>0</v>
      </c>
      <c r="K20" s="39">
        <f t="shared" si="6"/>
        <v>0</v>
      </c>
      <c r="L20" s="39">
        <f t="shared" si="6"/>
        <v>9</v>
      </c>
      <c r="M20" s="39">
        <f t="shared" si="6"/>
        <v>50</v>
      </c>
      <c r="N20" s="46"/>
    </row>
    <row r="21" spans="1:14" ht="12.75">
      <c r="A21" s="20" t="s">
        <v>42</v>
      </c>
      <c r="B21" s="40">
        <f t="shared" ref="B21:M21" si="7">IF(B18-B19&lt;0,B19-B18,0)</f>
        <v>0</v>
      </c>
      <c r="C21" s="40">
        <f t="shared" si="7"/>
        <v>0</v>
      </c>
      <c r="D21" s="40">
        <f t="shared" si="7"/>
        <v>0</v>
      </c>
      <c r="E21" s="40">
        <f t="shared" si="7"/>
        <v>0</v>
      </c>
      <c r="F21" s="40">
        <f t="shared" si="7"/>
        <v>0</v>
      </c>
      <c r="G21" s="40">
        <f t="shared" si="7"/>
        <v>0</v>
      </c>
      <c r="H21" s="40">
        <f t="shared" si="7"/>
        <v>0</v>
      </c>
      <c r="I21" s="40">
        <f t="shared" si="7"/>
        <v>0</v>
      </c>
      <c r="J21" s="40">
        <f t="shared" si="7"/>
        <v>0</v>
      </c>
      <c r="K21" s="40">
        <f t="shared" si="7"/>
        <v>0</v>
      </c>
      <c r="L21" s="40">
        <f t="shared" si="7"/>
        <v>0</v>
      </c>
      <c r="M21" s="40">
        <f t="shared" si="7"/>
        <v>0</v>
      </c>
      <c r="N21" s="47" t="s">
        <v>4</v>
      </c>
    </row>
    <row r="22" spans="1:14" ht="12.75">
      <c r="A22" s="26" t="s">
        <v>43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27" t="s">
        <v>4</v>
      </c>
    </row>
    <row r="23" spans="1:14" ht="12.75">
      <c r="A23" s="14" t="s">
        <v>44</v>
      </c>
      <c r="B23" s="41">
        <f t="shared" ref="B23:M23" si="8">$I$4*B12</f>
        <v>406.1</v>
      </c>
      <c r="C23" s="41">
        <f t="shared" si="8"/>
        <v>496</v>
      </c>
      <c r="D23" s="41">
        <f t="shared" si="8"/>
        <v>911.4</v>
      </c>
      <c r="E23" s="41">
        <f t="shared" si="8"/>
        <v>1116</v>
      </c>
      <c r="F23" s="41">
        <f t="shared" si="8"/>
        <v>1314.4</v>
      </c>
      <c r="G23" s="41">
        <f t="shared" si="8"/>
        <v>2061.5</v>
      </c>
      <c r="H23" s="41">
        <f t="shared" si="8"/>
        <v>2061.5</v>
      </c>
      <c r="I23" s="41">
        <f t="shared" si="8"/>
        <v>2061.5</v>
      </c>
      <c r="J23" s="41">
        <f t="shared" si="8"/>
        <v>2061.5</v>
      </c>
      <c r="K23" s="41">
        <f t="shared" si="8"/>
        <v>1581</v>
      </c>
      <c r="L23" s="41">
        <f t="shared" si="8"/>
        <v>778.1</v>
      </c>
      <c r="M23" s="41">
        <f t="shared" si="8"/>
        <v>1116</v>
      </c>
      <c r="N23" s="48">
        <f>SUM(B23:M23)</f>
        <v>15965</v>
      </c>
    </row>
    <row r="24" spans="1:14" ht="12.75">
      <c r="A24" s="14" t="s">
        <v>45</v>
      </c>
      <c r="B24" s="41">
        <f t="shared" ref="B24:M24" si="9">IF(B16&lt;$C$5+$C$6,$E$5,$E$7)</f>
        <v>24</v>
      </c>
      <c r="C24" s="41">
        <f t="shared" si="9"/>
        <v>24</v>
      </c>
      <c r="D24" s="41">
        <f t="shared" si="9"/>
        <v>24</v>
      </c>
      <c r="E24" s="41">
        <f t="shared" si="9"/>
        <v>24</v>
      </c>
      <c r="F24" s="41">
        <f t="shared" si="9"/>
        <v>48</v>
      </c>
      <c r="G24" s="41">
        <f t="shared" si="9"/>
        <v>48</v>
      </c>
      <c r="H24" s="41">
        <f t="shared" si="9"/>
        <v>48</v>
      </c>
      <c r="I24" s="41">
        <f t="shared" si="9"/>
        <v>48</v>
      </c>
      <c r="J24" s="41">
        <f t="shared" si="9"/>
        <v>48</v>
      </c>
      <c r="K24" s="41">
        <f t="shared" si="9"/>
        <v>48</v>
      </c>
      <c r="L24" s="41">
        <f t="shared" si="9"/>
        <v>24</v>
      </c>
      <c r="M24" s="41">
        <f t="shared" si="9"/>
        <v>24</v>
      </c>
      <c r="N24" s="48">
        <f>SUM(B24:M24)</f>
        <v>432</v>
      </c>
    </row>
    <row r="25" spans="1:14" ht="12.75">
      <c r="A25" s="14" t="s">
        <v>46</v>
      </c>
      <c r="B25" s="41">
        <f t="shared" ref="B25:M25" si="10">IF(B13=1,$E$6*B17/$C$6,$E$8*B17/$C$8)</f>
        <v>0</v>
      </c>
      <c r="C25" s="41">
        <f t="shared" si="10"/>
        <v>0</v>
      </c>
      <c r="D25" s="41">
        <f t="shared" si="10"/>
        <v>0.75</v>
      </c>
      <c r="E25" s="41">
        <f t="shared" si="10"/>
        <v>9</v>
      </c>
      <c r="F25" s="41">
        <f t="shared" si="10"/>
        <v>0</v>
      </c>
      <c r="G25" s="41">
        <f t="shared" si="10"/>
        <v>18</v>
      </c>
      <c r="H25" s="41">
        <f t="shared" si="10"/>
        <v>18</v>
      </c>
      <c r="I25" s="41">
        <f t="shared" si="10"/>
        <v>18</v>
      </c>
      <c r="J25" s="41">
        <f t="shared" si="10"/>
        <v>18</v>
      </c>
      <c r="K25" s="41">
        <f t="shared" si="10"/>
        <v>0</v>
      </c>
      <c r="L25" s="41">
        <f t="shared" si="10"/>
        <v>0</v>
      </c>
      <c r="M25" s="41">
        <f t="shared" si="10"/>
        <v>9</v>
      </c>
      <c r="N25" s="48">
        <f>SUM(B25:M25)</f>
        <v>90.75</v>
      </c>
    </row>
    <row r="26" spans="1:14" ht="12.75">
      <c r="A26" s="14" t="s">
        <v>59</v>
      </c>
      <c r="B26" s="41">
        <f>IF(M13&gt;B13,$I$7,0)</f>
        <v>0</v>
      </c>
      <c r="C26" s="41">
        <f t="shared" ref="C26:M26" si="11">IF(B13=C13,0,IF(B13&lt;C13,$I$6,$I$7))</f>
        <v>0</v>
      </c>
      <c r="D26" s="41">
        <f t="shared" si="11"/>
        <v>0</v>
      </c>
      <c r="E26" s="41">
        <f t="shared" si="11"/>
        <v>0</v>
      </c>
      <c r="F26" s="41">
        <f t="shared" si="11"/>
        <v>18</v>
      </c>
      <c r="G26" s="41">
        <f t="shared" si="11"/>
        <v>0</v>
      </c>
      <c r="H26" s="41">
        <f t="shared" si="11"/>
        <v>0</v>
      </c>
      <c r="I26" s="41">
        <f t="shared" si="11"/>
        <v>0</v>
      </c>
      <c r="J26" s="41">
        <f t="shared" si="11"/>
        <v>0</v>
      </c>
      <c r="K26" s="41">
        <f t="shared" si="11"/>
        <v>0</v>
      </c>
      <c r="L26" s="41">
        <f t="shared" si="11"/>
        <v>15</v>
      </c>
      <c r="M26" s="41">
        <f t="shared" si="11"/>
        <v>0</v>
      </c>
      <c r="N26" s="48">
        <f>SUM(B26:M26)</f>
        <v>33</v>
      </c>
    </row>
    <row r="27" spans="1:14" ht="12.75">
      <c r="A27" s="14" t="s">
        <v>47</v>
      </c>
      <c r="B27" s="41">
        <f t="shared" ref="B27:M27" si="12">$I$5*B20</f>
        <v>0</v>
      </c>
      <c r="C27" s="41">
        <f t="shared" si="12"/>
        <v>0</v>
      </c>
      <c r="D27" s="41">
        <f t="shared" si="12"/>
        <v>7.8</v>
      </c>
      <c r="E27" s="41">
        <f t="shared" si="12"/>
        <v>0</v>
      </c>
      <c r="F27" s="41">
        <f t="shared" si="12"/>
        <v>6.45</v>
      </c>
      <c r="G27" s="41">
        <f t="shared" si="12"/>
        <v>26.7</v>
      </c>
      <c r="H27" s="41">
        <f t="shared" si="12"/>
        <v>19.8</v>
      </c>
      <c r="I27" s="41">
        <f t="shared" si="12"/>
        <v>8.4</v>
      </c>
      <c r="J27" s="41">
        <f t="shared" si="12"/>
        <v>0</v>
      </c>
      <c r="K27" s="41">
        <f t="shared" si="12"/>
        <v>0</v>
      </c>
      <c r="L27" s="41">
        <f t="shared" si="12"/>
        <v>1.3499999999999999</v>
      </c>
      <c r="M27" s="41">
        <f t="shared" si="12"/>
        <v>7.5</v>
      </c>
      <c r="N27" s="48">
        <f>SUM(B27:M27)</f>
        <v>78</v>
      </c>
    </row>
    <row r="28" spans="1:14" ht="12.75">
      <c r="A28" s="14" t="s">
        <v>48</v>
      </c>
      <c r="B28" s="41">
        <f t="shared" ref="B28:N28" si="13">SUM(B23:B27)</f>
        <v>430.1</v>
      </c>
      <c r="C28" s="41">
        <f t="shared" si="13"/>
        <v>520</v>
      </c>
      <c r="D28" s="41">
        <f t="shared" si="13"/>
        <v>943.94999999999993</v>
      </c>
      <c r="E28" s="41">
        <f t="shared" si="13"/>
        <v>1149</v>
      </c>
      <c r="F28" s="41">
        <f t="shared" si="13"/>
        <v>1386.8500000000001</v>
      </c>
      <c r="G28" s="41">
        <f t="shared" si="13"/>
        <v>2154.1999999999998</v>
      </c>
      <c r="H28" s="41">
        <f t="shared" si="13"/>
        <v>2147.3000000000002</v>
      </c>
      <c r="I28" s="41">
        <f t="shared" si="13"/>
        <v>2135.9</v>
      </c>
      <c r="J28" s="41">
        <f t="shared" si="13"/>
        <v>2127.5</v>
      </c>
      <c r="K28" s="41">
        <f t="shared" si="13"/>
        <v>1629</v>
      </c>
      <c r="L28" s="41">
        <f t="shared" si="13"/>
        <v>818.45</v>
      </c>
      <c r="M28" s="41">
        <f t="shared" si="13"/>
        <v>1156.5</v>
      </c>
      <c r="N28" s="48">
        <f t="shared" si="13"/>
        <v>16598.75</v>
      </c>
    </row>
    <row r="29" spans="1:14" ht="12.75">
      <c r="A29" s="14" t="s">
        <v>49</v>
      </c>
      <c r="B29" s="41">
        <f t="shared" ref="B29:M29" si="14">(B19-B21)*$I$8</f>
        <v>633.5</v>
      </c>
      <c r="C29" s="41">
        <f t="shared" si="14"/>
        <v>560</v>
      </c>
      <c r="D29" s="41">
        <f t="shared" si="14"/>
        <v>847</v>
      </c>
      <c r="E29" s="41">
        <f t="shared" si="14"/>
        <v>1442</v>
      </c>
      <c r="F29" s="41">
        <f t="shared" si="14"/>
        <v>1333.5</v>
      </c>
      <c r="G29" s="41">
        <f t="shared" si="14"/>
        <v>1855</v>
      </c>
      <c r="H29" s="41">
        <f t="shared" si="14"/>
        <v>2488.5</v>
      </c>
      <c r="I29" s="41">
        <f t="shared" si="14"/>
        <v>2593.5</v>
      </c>
      <c r="J29" s="41">
        <f t="shared" si="14"/>
        <v>2523.5</v>
      </c>
      <c r="K29" s="41">
        <f t="shared" si="14"/>
        <v>1785</v>
      </c>
      <c r="L29" s="41">
        <f t="shared" si="14"/>
        <v>847</v>
      </c>
      <c r="M29" s="41">
        <f t="shared" si="14"/>
        <v>1116.5</v>
      </c>
      <c r="N29" s="48">
        <f>SUM(B29:M29)</f>
        <v>18025</v>
      </c>
    </row>
    <row r="30" spans="1:14" ht="12.75">
      <c r="A30" s="28"/>
      <c r="B30" s="21"/>
      <c r="C30" s="21"/>
      <c r="D30" s="21"/>
      <c r="E30" s="21"/>
      <c r="F30" s="21"/>
      <c r="G30" s="29"/>
      <c r="H30" s="21"/>
      <c r="I30" s="21"/>
      <c r="J30" s="21"/>
      <c r="K30" s="21"/>
      <c r="L30" s="21"/>
      <c r="M30" s="36" t="s">
        <v>50</v>
      </c>
      <c r="N30" s="49">
        <f>$N$29-$N$28</f>
        <v>1426.25</v>
      </c>
    </row>
    <row r="31" spans="1:14" ht="12.75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2"/>
    </row>
    <row r="32" spans="1:14" ht="12.75">
      <c r="A32" s="14" t="s">
        <v>51</v>
      </c>
      <c r="B32" s="16">
        <f>B15+B12</f>
        <v>181</v>
      </c>
      <c r="C32" s="16">
        <f t="shared" ref="C32:M32" si="15">B32+C12</f>
        <v>341</v>
      </c>
      <c r="D32" s="16">
        <f t="shared" si="15"/>
        <v>635</v>
      </c>
      <c r="E32" s="16">
        <f t="shared" si="15"/>
        <v>995</v>
      </c>
      <c r="F32" s="16">
        <f t="shared" si="15"/>
        <v>1419</v>
      </c>
      <c r="G32" s="16">
        <f t="shared" si="15"/>
        <v>2084</v>
      </c>
      <c r="H32" s="16">
        <f t="shared" si="15"/>
        <v>2749</v>
      </c>
      <c r="I32" s="16">
        <f t="shared" si="15"/>
        <v>3414</v>
      </c>
      <c r="J32" s="16">
        <f t="shared" si="15"/>
        <v>4079</v>
      </c>
      <c r="K32" s="16">
        <f t="shared" si="15"/>
        <v>4589</v>
      </c>
      <c r="L32" s="16">
        <f t="shared" si="15"/>
        <v>4840</v>
      </c>
      <c r="M32" s="16">
        <f t="shared" si="15"/>
        <v>5200</v>
      </c>
      <c r="N32" s="3"/>
    </row>
    <row r="33" spans="1:14" ht="12.75">
      <c r="A33" s="20" t="s">
        <v>52</v>
      </c>
      <c r="B33" s="22">
        <f>B19</f>
        <v>181</v>
      </c>
      <c r="C33" s="22">
        <f t="shared" ref="C33:M33" si="16">B33+C19</f>
        <v>341</v>
      </c>
      <c r="D33" s="22">
        <f t="shared" si="16"/>
        <v>583</v>
      </c>
      <c r="E33" s="22">
        <f t="shared" si="16"/>
        <v>995</v>
      </c>
      <c r="F33" s="22">
        <f t="shared" si="16"/>
        <v>1376</v>
      </c>
      <c r="G33" s="22">
        <f t="shared" si="16"/>
        <v>1906</v>
      </c>
      <c r="H33" s="22">
        <f t="shared" si="16"/>
        <v>2617</v>
      </c>
      <c r="I33" s="22">
        <f t="shared" si="16"/>
        <v>3358</v>
      </c>
      <c r="J33" s="22">
        <f t="shared" si="16"/>
        <v>4079</v>
      </c>
      <c r="K33" s="22">
        <f t="shared" si="16"/>
        <v>4589</v>
      </c>
      <c r="L33" s="22">
        <f t="shared" si="16"/>
        <v>4831</v>
      </c>
      <c r="M33" s="22">
        <f t="shared" si="16"/>
        <v>5150</v>
      </c>
      <c r="N33" s="5"/>
    </row>
    <row r="35" spans="1:14" ht="12.75">
      <c r="A35" s="51" t="s">
        <v>61</v>
      </c>
    </row>
  </sheetData>
  <pageMargins left="0.75" right="0.75" top="1" bottom="1" header="0.5" footer="0.5"/>
  <pageSetup paperSize="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FIG11-4</vt:lpstr>
      <vt:lpstr>'FIG11-4'!Print_Area</vt:lpstr>
      <vt:lpstr>'FIG11-4'!Print_Area_MI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Shane Dye</cp:lastModifiedBy>
  <dcterms:created xsi:type="dcterms:W3CDTF">2011-11-20T23:17:15Z</dcterms:created>
  <dcterms:modified xsi:type="dcterms:W3CDTF">2012-05-25T01:39:21Z</dcterms:modified>
</cp:coreProperties>
</file>