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sserrephilippe/Desktop/WEB  5 EDITION/FOR BLOOMSBERRY/EXECEL files mini cases/"/>
    </mc:Choice>
  </mc:AlternateContent>
  <xr:revisionPtr revIDLastSave="0" documentId="13_ncr:1_{196374D5-3FAD-C043-ABBF-475EF9AFD007}" xr6:coauthVersionLast="47" xr6:coauthVersionMax="47" xr10:uidLastSave="{00000000-0000-0000-0000-000000000000}"/>
  <bookViews>
    <workbookView xWindow="14900" yWindow="500" windowWidth="38400" windowHeight="22280" activeTab="3" xr2:uid="{147ED1AD-A242-2C40-8D04-835D3E15315C}"/>
  </bookViews>
  <sheets>
    <sheet name="Greenfield" sheetId="1" r:id="rId1"/>
    <sheet name="Acquisition" sheetId="2" r:id="rId2"/>
    <sheet name="JOINT venture" sheetId="3" r:id="rId3"/>
    <sheet name="LIcensi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D43" i="3"/>
  <c r="N48" i="3"/>
  <c r="M48" i="3"/>
  <c r="L48" i="3"/>
  <c r="K48" i="3"/>
  <c r="J48" i="3"/>
  <c r="I48" i="3"/>
  <c r="H48" i="3"/>
  <c r="G48" i="3"/>
  <c r="F48" i="3"/>
  <c r="E48" i="3"/>
  <c r="D48" i="3"/>
  <c r="E17" i="1"/>
  <c r="F17" i="1" s="1"/>
  <c r="G17" i="1" s="1"/>
  <c r="H17" i="1" s="1"/>
  <c r="I17" i="1" s="1"/>
  <c r="J17" i="1" s="1"/>
  <c r="K17" i="1" s="1"/>
  <c r="L17" i="1" s="1"/>
  <c r="M17" i="1" s="1"/>
  <c r="N17" i="1" s="1"/>
  <c r="N20" i="1" s="1"/>
  <c r="E19" i="4"/>
  <c r="D19" i="4"/>
  <c r="C19" i="4"/>
  <c r="C12" i="4"/>
  <c r="C13" i="4" s="1"/>
  <c r="D10" i="4"/>
  <c r="D12" i="4" s="1"/>
  <c r="D8" i="4"/>
  <c r="E8" i="4" s="1"/>
  <c r="F8" i="4" s="1"/>
  <c r="D6" i="4"/>
  <c r="E6" i="4" s="1"/>
  <c r="F6" i="4" s="1"/>
  <c r="G6" i="4" s="1"/>
  <c r="H6" i="4" s="1"/>
  <c r="I6" i="4" s="1"/>
  <c r="J6" i="4" s="1"/>
  <c r="K6" i="4" s="1"/>
  <c r="L6" i="4" s="1"/>
  <c r="M6" i="4" s="1"/>
  <c r="D44" i="3"/>
  <c r="G47" i="3" s="1"/>
  <c r="N29" i="3"/>
  <c r="N30" i="3" s="1"/>
  <c r="N32" i="3" s="1"/>
  <c r="M29" i="3"/>
  <c r="M30" i="3" s="1"/>
  <c r="L29" i="3"/>
  <c r="L30" i="3" s="1"/>
  <c r="K29" i="3"/>
  <c r="K30" i="3" s="1"/>
  <c r="J29" i="3"/>
  <c r="J30" i="3" s="1"/>
  <c r="J32" i="3" s="1"/>
  <c r="I29" i="3"/>
  <c r="I30" i="3" s="1"/>
  <c r="I32" i="3" s="1"/>
  <c r="H29" i="3"/>
  <c r="H30" i="3" s="1"/>
  <c r="G29" i="3"/>
  <c r="G30" i="3" s="1"/>
  <c r="F29" i="3"/>
  <c r="F30" i="3" s="1"/>
  <c r="F32" i="3" s="1"/>
  <c r="E29" i="3"/>
  <c r="E30" i="3" s="1"/>
  <c r="D29" i="3"/>
  <c r="D30" i="3" s="1"/>
  <c r="D46" i="3" s="1"/>
  <c r="N22" i="3"/>
  <c r="N23" i="3" s="1"/>
  <c r="M22" i="3"/>
  <c r="M23" i="3" s="1"/>
  <c r="L22" i="3"/>
  <c r="L23" i="3" s="1"/>
  <c r="K22" i="3"/>
  <c r="K23" i="3" s="1"/>
  <c r="J22" i="3"/>
  <c r="J23" i="3" s="1"/>
  <c r="I22" i="3"/>
  <c r="I23" i="3" s="1"/>
  <c r="H22" i="3"/>
  <c r="H23" i="3" s="1"/>
  <c r="G22" i="3"/>
  <c r="G23" i="3" s="1"/>
  <c r="F22" i="3"/>
  <c r="F23" i="3" s="1"/>
  <c r="E22" i="3"/>
  <c r="E23" i="3" s="1"/>
  <c r="D22" i="3"/>
  <c r="D23" i="3" s="1"/>
  <c r="D18" i="3"/>
  <c r="D21" i="3" s="1"/>
  <c r="E15" i="3"/>
  <c r="F15" i="3" s="1"/>
  <c r="G15" i="3" s="1"/>
  <c r="G18" i="3" s="1"/>
  <c r="G21" i="3" s="1"/>
  <c r="E14" i="3"/>
  <c r="F14" i="3" s="1"/>
  <c r="G14" i="3" s="1"/>
  <c r="H14" i="3" s="1"/>
  <c r="I14" i="3" s="1"/>
  <c r="J14" i="3" s="1"/>
  <c r="K14" i="3" s="1"/>
  <c r="L14" i="3" s="1"/>
  <c r="M14" i="3" s="1"/>
  <c r="N14" i="3" s="1"/>
  <c r="D11" i="3"/>
  <c r="E8" i="3"/>
  <c r="F8" i="3" s="1"/>
  <c r="G8" i="3" s="1"/>
  <c r="H8" i="3" s="1"/>
  <c r="I8" i="3" s="1"/>
  <c r="D7" i="3"/>
  <c r="E35" i="3" s="1"/>
  <c r="I54" i="2"/>
  <c r="I22" i="2"/>
  <c r="I23" i="2" s="1"/>
  <c r="D53" i="2"/>
  <c r="D56" i="2" s="1"/>
  <c r="D18" i="2"/>
  <c r="E15" i="2"/>
  <c r="F15" i="2" s="1"/>
  <c r="G15" i="2" s="1"/>
  <c r="H15" i="2" s="1"/>
  <c r="I15" i="2" s="1"/>
  <c r="J15" i="2" s="1"/>
  <c r="K15" i="2" s="1"/>
  <c r="L15" i="2" s="1"/>
  <c r="M15" i="2" s="1"/>
  <c r="N15" i="2" s="1"/>
  <c r="N18" i="2" s="1"/>
  <c r="N21" i="2" s="1"/>
  <c r="D20" i="1"/>
  <c r="D22" i="1" s="1"/>
  <c r="D29" i="1" s="1"/>
  <c r="D30" i="1" s="1"/>
  <c r="D31" i="1" s="1"/>
  <c r="D33" i="1" s="1"/>
  <c r="N29" i="2"/>
  <c r="N30" i="2" s="1"/>
  <c r="M29" i="2"/>
  <c r="M30" i="2" s="1"/>
  <c r="L29" i="2"/>
  <c r="L30" i="2" s="1"/>
  <c r="K29" i="2"/>
  <c r="K30" i="2" s="1"/>
  <c r="J29" i="2"/>
  <c r="J30" i="2" s="1"/>
  <c r="I29" i="2"/>
  <c r="I30" i="2" s="1"/>
  <c r="H29" i="2"/>
  <c r="H30" i="2" s="1"/>
  <c r="G29" i="2"/>
  <c r="G30" i="2" s="1"/>
  <c r="F29" i="2"/>
  <c r="F30" i="2" s="1"/>
  <c r="E29" i="2"/>
  <c r="E30" i="2" s="1"/>
  <c r="D29" i="2"/>
  <c r="D30" i="2" s="1"/>
  <c r="N22" i="2"/>
  <c r="N23" i="2" s="1"/>
  <c r="M22" i="2"/>
  <c r="M23" i="2" s="1"/>
  <c r="L22" i="2"/>
  <c r="L23" i="2" s="1"/>
  <c r="K22" i="2"/>
  <c r="K23" i="2" s="1"/>
  <c r="J22" i="2"/>
  <c r="J23" i="2" s="1"/>
  <c r="H22" i="2"/>
  <c r="H23" i="2" s="1"/>
  <c r="G22" i="2"/>
  <c r="G23" i="2" s="1"/>
  <c r="F22" i="2"/>
  <c r="F23" i="2" s="1"/>
  <c r="E22" i="2"/>
  <c r="E23" i="2" s="1"/>
  <c r="D22" i="2"/>
  <c r="D23" i="2" s="1"/>
  <c r="D21" i="2"/>
  <c r="E14" i="2"/>
  <c r="F14" i="2" s="1"/>
  <c r="G14" i="2" s="1"/>
  <c r="H14" i="2" s="1"/>
  <c r="I14" i="2" s="1"/>
  <c r="J14" i="2" s="1"/>
  <c r="K14" i="2" s="1"/>
  <c r="L14" i="2" s="1"/>
  <c r="M14" i="2" s="1"/>
  <c r="N14" i="2" s="1"/>
  <c r="D11" i="2"/>
  <c r="E8" i="2"/>
  <c r="F8" i="2" s="1"/>
  <c r="G8" i="2" s="1"/>
  <c r="H8" i="2" s="1"/>
  <c r="I8" i="2" s="1"/>
  <c r="J8" i="2" s="1"/>
  <c r="K8" i="2" s="1"/>
  <c r="L8" i="2" s="1"/>
  <c r="M8" i="2" s="1"/>
  <c r="N8" i="2" s="1"/>
  <c r="D7" i="2"/>
  <c r="G35" i="2" s="1"/>
  <c r="D56" i="1"/>
  <c r="D8" i="1"/>
  <c r="G36" i="1" s="1"/>
  <c r="D12" i="1"/>
  <c r="N24" i="1"/>
  <c r="N25" i="1" s="1"/>
  <c r="M24" i="1"/>
  <c r="M25" i="1" s="1"/>
  <c r="L24" i="1"/>
  <c r="L25" i="1" s="1"/>
  <c r="K24" i="1"/>
  <c r="K25" i="1" s="1"/>
  <c r="J24" i="1"/>
  <c r="J25" i="1" s="1"/>
  <c r="I24" i="1"/>
  <c r="I25" i="1" s="1"/>
  <c r="H24" i="1"/>
  <c r="H25" i="1" s="1"/>
  <c r="G24" i="1"/>
  <c r="G25" i="1" s="1"/>
  <c r="F24" i="1"/>
  <c r="F25" i="1" s="1"/>
  <c r="E24" i="1"/>
  <c r="E25" i="1" s="1"/>
  <c r="D24" i="1"/>
  <c r="D25" i="1" s="1"/>
  <c r="E9" i="1"/>
  <c r="F9" i="1" s="1"/>
  <c r="G9" i="1" s="1"/>
  <c r="H9" i="1" s="1"/>
  <c r="I9" i="1" s="1"/>
  <c r="J9" i="1" s="1"/>
  <c r="K9" i="1" s="1"/>
  <c r="L9" i="1" s="1"/>
  <c r="M9" i="1" s="1"/>
  <c r="N9" i="1" s="1"/>
  <c r="E16" i="1"/>
  <c r="F16" i="1" s="1"/>
  <c r="G16" i="1" s="1"/>
  <c r="H16" i="1" s="1"/>
  <c r="I16" i="1" s="1"/>
  <c r="J16" i="1" s="1"/>
  <c r="K16" i="1" s="1"/>
  <c r="L16" i="1" s="1"/>
  <c r="M16" i="1" s="1"/>
  <c r="N16" i="1" s="1"/>
  <c r="N23" i="1" l="1"/>
  <c r="N26" i="1" s="1"/>
  <c r="N22" i="1"/>
  <c r="I20" i="1"/>
  <c r="H20" i="1"/>
  <c r="H22" i="1" s="1"/>
  <c r="K20" i="1"/>
  <c r="E20" i="1"/>
  <c r="E22" i="1" s="1"/>
  <c r="M20" i="1"/>
  <c r="J20" i="1"/>
  <c r="D23" i="1"/>
  <c r="E29" i="1"/>
  <c r="E30" i="1" s="1"/>
  <c r="E31" i="1" s="1"/>
  <c r="E33" i="1" s="1"/>
  <c r="F20" i="1"/>
  <c r="F22" i="1" s="1"/>
  <c r="L20" i="1"/>
  <c r="E10" i="4"/>
  <c r="F10" i="4" s="1"/>
  <c r="G10" i="4" s="1"/>
  <c r="G8" i="4"/>
  <c r="F18" i="4"/>
  <c r="F19" i="4" s="1"/>
  <c r="C20" i="4"/>
  <c r="D20" i="4" s="1"/>
  <c r="E20" i="4" s="1"/>
  <c r="D47" i="3"/>
  <c r="H47" i="3"/>
  <c r="E47" i="3"/>
  <c r="I47" i="3"/>
  <c r="F47" i="3"/>
  <c r="J47" i="3"/>
  <c r="D24" i="3"/>
  <c r="F35" i="3"/>
  <c r="F18" i="3"/>
  <c r="F21" i="3" s="1"/>
  <c r="F24" i="3" s="1"/>
  <c r="F34" i="3" s="1"/>
  <c r="I46" i="3"/>
  <c r="G24" i="3"/>
  <c r="G35" i="3"/>
  <c r="K32" i="3"/>
  <c r="K46" i="3"/>
  <c r="J8" i="3"/>
  <c r="K8" i="3" s="1"/>
  <c r="L8" i="3" s="1"/>
  <c r="M8" i="3" s="1"/>
  <c r="N8" i="3" s="1"/>
  <c r="G32" i="3"/>
  <c r="G46" i="3"/>
  <c r="L46" i="3"/>
  <c r="D32" i="3"/>
  <c r="D34" i="3" s="1"/>
  <c r="L32" i="3"/>
  <c r="J46" i="3"/>
  <c r="H15" i="3"/>
  <c r="E46" i="3"/>
  <c r="M46" i="3"/>
  <c r="H46" i="3"/>
  <c r="E32" i="3"/>
  <c r="M32" i="3"/>
  <c r="N46" i="3"/>
  <c r="E18" i="3"/>
  <c r="E21" i="3" s="1"/>
  <c r="E24" i="3" s="1"/>
  <c r="H32" i="3"/>
  <c r="F46" i="3"/>
  <c r="D35" i="3"/>
  <c r="H18" i="2"/>
  <c r="H21" i="2" s="1"/>
  <c r="H24" i="2" s="1"/>
  <c r="M18" i="2"/>
  <c r="M21" i="2" s="1"/>
  <c r="M24" i="2" s="1"/>
  <c r="I18" i="2"/>
  <c r="I21" i="2" s="1"/>
  <c r="I24" i="2" s="1"/>
  <c r="E18" i="2"/>
  <c r="E21" i="2" s="1"/>
  <c r="E24" i="2" s="1"/>
  <c r="J18" i="2"/>
  <c r="J21" i="2" s="1"/>
  <c r="J24" i="2" s="1"/>
  <c r="F18" i="2"/>
  <c r="F21" i="2" s="1"/>
  <c r="F24" i="2" s="1"/>
  <c r="L18" i="2"/>
  <c r="L21" i="2" s="1"/>
  <c r="L24" i="2" s="1"/>
  <c r="N24" i="2"/>
  <c r="G18" i="2"/>
  <c r="G21" i="2" s="1"/>
  <c r="G24" i="2" s="1"/>
  <c r="K18" i="2"/>
  <c r="K21" i="2" s="1"/>
  <c r="K24" i="2" s="1"/>
  <c r="I7" i="2"/>
  <c r="D24" i="2"/>
  <c r="G20" i="1"/>
  <c r="M32" i="2"/>
  <c r="M44" i="2"/>
  <c r="D32" i="2"/>
  <c r="D44" i="2"/>
  <c r="L32" i="2"/>
  <c r="L44" i="2"/>
  <c r="I32" i="2"/>
  <c r="I44" i="2"/>
  <c r="F44" i="2"/>
  <c r="F32" i="2"/>
  <c r="J44" i="2"/>
  <c r="J32" i="2"/>
  <c r="N44" i="2"/>
  <c r="N32" i="2"/>
  <c r="H32" i="2"/>
  <c r="H44" i="2"/>
  <c r="E32" i="2"/>
  <c r="E44" i="2"/>
  <c r="G44" i="2"/>
  <c r="G32" i="2"/>
  <c r="K44" i="2"/>
  <c r="K32" i="2"/>
  <c r="D35" i="2"/>
  <c r="E35" i="2"/>
  <c r="F35" i="2"/>
  <c r="D36" i="1"/>
  <c r="E36" i="1"/>
  <c r="D45" i="1"/>
  <c r="F36" i="1"/>
  <c r="D26" i="1"/>
  <c r="D35" i="1" s="1"/>
  <c r="F12" i="4" l="1"/>
  <c r="F13" i="4" s="1"/>
  <c r="H34" i="2"/>
  <c r="H36" i="2" s="1"/>
  <c r="F34" i="2"/>
  <c r="H23" i="1"/>
  <c r="H26" i="1" s="1"/>
  <c r="F29" i="1"/>
  <c r="F30" i="1" s="1"/>
  <c r="F31" i="1" s="1"/>
  <c r="F45" i="1" s="1"/>
  <c r="J22" i="1"/>
  <c r="J23" i="1"/>
  <c r="J26" i="1" s="1"/>
  <c r="E23" i="1"/>
  <c r="E26" i="1" s="1"/>
  <c r="E35" i="1" s="1"/>
  <c r="M22" i="1"/>
  <c r="M23" i="1"/>
  <c r="M26" i="1" s="1"/>
  <c r="I22" i="1"/>
  <c r="I23" i="1"/>
  <c r="I26" i="1" s="1"/>
  <c r="K23" i="1"/>
  <c r="K26" i="1" s="1"/>
  <c r="K22" i="1"/>
  <c r="F23" i="1"/>
  <c r="F26" i="1" s="1"/>
  <c r="I34" i="2"/>
  <c r="I36" i="2" s="1"/>
  <c r="I39" i="2" s="1"/>
  <c r="I40" i="2" s="1"/>
  <c r="E45" i="1"/>
  <c r="L23" i="1"/>
  <c r="L26" i="1" s="1"/>
  <c r="L22" i="1"/>
  <c r="F20" i="4"/>
  <c r="E12" i="4"/>
  <c r="E13" i="4" s="1"/>
  <c r="G12" i="4"/>
  <c r="G13" i="4" s="1"/>
  <c r="H10" i="4"/>
  <c r="H8" i="4"/>
  <c r="G18" i="4"/>
  <c r="G19" i="4" s="1"/>
  <c r="F36" i="3"/>
  <c r="F39" i="3" s="1"/>
  <c r="G34" i="3"/>
  <c r="G36" i="3" s="1"/>
  <c r="G39" i="3" s="1"/>
  <c r="G40" i="3" s="1"/>
  <c r="E34" i="3"/>
  <c r="E36" i="3" s="1"/>
  <c r="E39" i="3" s="1"/>
  <c r="E45" i="3" s="1"/>
  <c r="E49" i="3" s="1"/>
  <c r="E57" i="3" s="1"/>
  <c r="D36" i="3"/>
  <c r="H18" i="3"/>
  <c r="H21" i="3" s="1"/>
  <c r="H24" i="3" s="1"/>
  <c r="H34" i="3" s="1"/>
  <c r="H36" i="3" s="1"/>
  <c r="I15" i="3"/>
  <c r="N34" i="2"/>
  <c r="N36" i="2" s="1"/>
  <c r="N39" i="2" s="1"/>
  <c r="N40" i="2" s="1"/>
  <c r="E34" i="2"/>
  <c r="E36" i="2" s="1"/>
  <c r="E39" i="2" s="1"/>
  <c r="E43" i="2" s="1"/>
  <c r="E46" i="2" s="1"/>
  <c r="M34" i="2"/>
  <c r="M36" i="2" s="1"/>
  <c r="M39" i="2" s="1"/>
  <c r="M43" i="2" s="1"/>
  <c r="M46" i="2" s="1"/>
  <c r="J34" i="2"/>
  <c r="J36" i="2" s="1"/>
  <c r="J39" i="2" s="1"/>
  <c r="J43" i="2" s="1"/>
  <c r="J46" i="2" s="1"/>
  <c r="G34" i="2"/>
  <c r="G36" i="2" s="1"/>
  <c r="G39" i="2" s="1"/>
  <c r="G43" i="2" s="1"/>
  <c r="G46" i="2" s="1"/>
  <c r="L34" i="2"/>
  <c r="L36" i="2" s="1"/>
  <c r="L39" i="2" s="1"/>
  <c r="L40" i="2" s="1"/>
  <c r="K34" i="2"/>
  <c r="K36" i="2" s="1"/>
  <c r="K39" i="2" s="1"/>
  <c r="D34" i="2"/>
  <c r="D36" i="2" s="1"/>
  <c r="D39" i="2" s="1"/>
  <c r="D43" i="2" s="1"/>
  <c r="D45" i="2" s="1"/>
  <c r="D47" i="2" s="1"/>
  <c r="G23" i="1"/>
  <c r="G26" i="1" s="1"/>
  <c r="G22" i="1"/>
  <c r="G29" i="1" s="1"/>
  <c r="F36" i="2"/>
  <c r="F39" i="2" s="1"/>
  <c r="F43" i="2" s="1"/>
  <c r="F46" i="2" s="1"/>
  <c r="H39" i="2"/>
  <c r="H43" i="2" s="1"/>
  <c r="H46" i="2" s="1"/>
  <c r="E37" i="1"/>
  <c r="D37" i="1"/>
  <c r="F45" i="3" l="1"/>
  <c r="F33" i="1"/>
  <c r="F35" i="1" s="1"/>
  <c r="F37" i="1" s="1"/>
  <c r="F40" i="1" s="1"/>
  <c r="F44" i="1" s="1"/>
  <c r="F40" i="3"/>
  <c r="H12" i="4"/>
  <c r="H13" i="4" s="1"/>
  <c r="I10" i="4"/>
  <c r="G20" i="4"/>
  <c r="I8" i="4"/>
  <c r="H18" i="4"/>
  <c r="H19" i="4" s="1"/>
  <c r="F49" i="3"/>
  <c r="E40" i="3"/>
  <c r="E58" i="3"/>
  <c r="J15" i="3"/>
  <c r="I18" i="3"/>
  <c r="I21" i="3" s="1"/>
  <c r="I24" i="3" s="1"/>
  <c r="I34" i="3" s="1"/>
  <c r="I36" i="3" s="1"/>
  <c r="H39" i="3"/>
  <c r="H45" i="3" s="1"/>
  <c r="H49" i="3" s="1"/>
  <c r="H57" i="3" s="1"/>
  <c r="G45" i="3"/>
  <c r="G49" i="3" s="1"/>
  <c r="G57" i="3" s="1"/>
  <c r="D39" i="3"/>
  <c r="D45" i="3" s="1"/>
  <c r="G40" i="2"/>
  <c r="K40" i="2"/>
  <c r="K43" i="2"/>
  <c r="H40" i="2"/>
  <c r="L43" i="2"/>
  <c r="E40" i="2"/>
  <c r="I43" i="2"/>
  <c r="J40" i="2"/>
  <c r="H29" i="1"/>
  <c r="G30" i="1"/>
  <c r="G31" i="1" s="1"/>
  <c r="F40" i="2"/>
  <c r="D40" i="2"/>
  <c r="E55" i="2"/>
  <c r="E56" i="2" s="1"/>
  <c r="E45" i="2"/>
  <c r="H45" i="2"/>
  <c r="H55" i="2"/>
  <c r="H56" i="2" s="1"/>
  <c r="G45" i="2"/>
  <c r="G55" i="2"/>
  <c r="G56" i="2" s="1"/>
  <c r="M55" i="2"/>
  <c r="M56" i="2" s="1"/>
  <c r="M45" i="2"/>
  <c r="D48" i="2"/>
  <c r="M40" i="2"/>
  <c r="J55" i="2"/>
  <c r="J56" i="2" s="1"/>
  <c r="J45" i="2"/>
  <c r="F55" i="2"/>
  <c r="F56" i="2" s="1"/>
  <c r="F45" i="2"/>
  <c r="N43" i="2"/>
  <c r="N46" i="2" s="1"/>
  <c r="E40" i="1"/>
  <c r="E44" i="1" s="1"/>
  <c r="D40" i="1"/>
  <c r="D44" i="1" s="1"/>
  <c r="D46" i="1" s="1"/>
  <c r="D48" i="1" s="1"/>
  <c r="I45" i="2" l="1"/>
  <c r="I46" i="2"/>
  <c r="I55" i="2" s="1"/>
  <c r="I56" i="2" s="1"/>
  <c r="J57" i="2" s="1"/>
  <c r="K45" i="2"/>
  <c r="K46" i="2"/>
  <c r="K55" i="2" s="1"/>
  <c r="K56" i="2" s="1"/>
  <c r="F57" i="3"/>
  <c r="F58" i="3" s="1"/>
  <c r="F59" i="3" s="1"/>
  <c r="L45" i="2"/>
  <c r="L47" i="2" s="1"/>
  <c r="L46" i="2"/>
  <c r="L55" i="2" s="1"/>
  <c r="L56" i="2" s="1"/>
  <c r="M57" i="2" s="1"/>
  <c r="F50" i="3"/>
  <c r="H20" i="4"/>
  <c r="J10" i="4"/>
  <c r="I12" i="4"/>
  <c r="I13" i="4" s="1"/>
  <c r="I18" i="4"/>
  <c r="I19" i="4" s="1"/>
  <c r="J8" i="4"/>
  <c r="D49" i="3"/>
  <c r="E50" i="3"/>
  <c r="H40" i="3"/>
  <c r="G58" i="3"/>
  <c r="D40" i="3"/>
  <c r="K15" i="3"/>
  <c r="J18" i="3"/>
  <c r="J21" i="3" s="1"/>
  <c r="J24" i="3" s="1"/>
  <c r="J34" i="3" s="1"/>
  <c r="J36" i="3" s="1"/>
  <c r="I39" i="3"/>
  <c r="I40" i="3" s="1"/>
  <c r="H58" i="3"/>
  <c r="F57" i="2"/>
  <c r="I57" i="2"/>
  <c r="M47" i="2"/>
  <c r="G33" i="1"/>
  <c r="G35" i="1" s="1"/>
  <c r="G37" i="1" s="1"/>
  <c r="G40" i="1" s="1"/>
  <c r="G44" i="1" s="1"/>
  <c r="G47" i="1" s="1"/>
  <c r="G45" i="1"/>
  <c r="H30" i="1"/>
  <c r="H31" i="1" s="1"/>
  <c r="I29" i="1"/>
  <c r="E46" i="1"/>
  <c r="E47" i="1"/>
  <c r="E55" i="1" s="1"/>
  <c r="E56" i="1" s="1"/>
  <c r="E41" i="1"/>
  <c r="F46" i="1"/>
  <c r="F47" i="1"/>
  <c r="F55" i="1" s="1"/>
  <c r="F56" i="1" s="1"/>
  <c r="D49" i="1"/>
  <c r="D41" i="1"/>
  <c r="F41" i="1"/>
  <c r="F47" i="2"/>
  <c r="E47" i="2"/>
  <c r="H57" i="2"/>
  <c r="H47" i="2"/>
  <c r="N55" i="2"/>
  <c r="N56" i="2" s="1"/>
  <c r="N57" i="2" s="1"/>
  <c r="N45" i="2"/>
  <c r="G57" i="2"/>
  <c r="I47" i="2"/>
  <c r="J47" i="2"/>
  <c r="G47" i="2"/>
  <c r="E57" i="2"/>
  <c r="L57" i="2" l="1"/>
  <c r="K57" i="2"/>
  <c r="D58" i="2"/>
  <c r="G59" i="3"/>
  <c r="K47" i="2"/>
  <c r="E48" i="2"/>
  <c r="F48" i="2" s="1"/>
  <c r="G48" i="2" s="1"/>
  <c r="H48" i="2" s="1"/>
  <c r="I48" i="2" s="1"/>
  <c r="J48" i="2" s="1"/>
  <c r="D57" i="3"/>
  <c r="D58" i="3" s="1"/>
  <c r="I20" i="4"/>
  <c r="K8" i="4"/>
  <c r="J18" i="4"/>
  <c r="J19" i="4" s="1"/>
  <c r="K10" i="4"/>
  <c r="J12" i="4"/>
  <c r="J13" i="4" s="1"/>
  <c r="D50" i="3"/>
  <c r="H50" i="3"/>
  <c r="G50" i="3"/>
  <c r="H59" i="3"/>
  <c r="J39" i="3"/>
  <c r="J40" i="3" s="1"/>
  <c r="I45" i="3"/>
  <c r="I49" i="3" s="1"/>
  <c r="I57" i="3" s="1"/>
  <c r="K18" i="3"/>
  <c r="K21" i="3" s="1"/>
  <c r="K24" i="3" s="1"/>
  <c r="K34" i="3" s="1"/>
  <c r="K36" i="3" s="1"/>
  <c r="L15" i="3"/>
  <c r="D59" i="2"/>
  <c r="N47" i="2"/>
  <c r="D49" i="2" s="1"/>
  <c r="G41" i="1"/>
  <c r="G46" i="1"/>
  <c r="G48" i="1" s="1"/>
  <c r="J29" i="1"/>
  <c r="I30" i="1"/>
  <c r="I31" i="1" s="1"/>
  <c r="H33" i="1"/>
  <c r="H35" i="1" s="1"/>
  <c r="H37" i="1" s="1"/>
  <c r="H45" i="1"/>
  <c r="F57" i="1"/>
  <c r="G55" i="1"/>
  <c r="G56" i="1" s="1"/>
  <c r="E57" i="1"/>
  <c r="F48" i="1"/>
  <c r="E48" i="1"/>
  <c r="K48" i="2" l="1"/>
  <c r="L48" i="2" s="1"/>
  <c r="M48" i="2" s="1"/>
  <c r="N48" i="2" s="1"/>
  <c r="E59" i="3"/>
  <c r="D59" i="3"/>
  <c r="J20" i="4"/>
  <c r="K12" i="4"/>
  <c r="K13" i="4" s="1"/>
  <c r="L10" i="4"/>
  <c r="L8" i="4"/>
  <c r="K18" i="4"/>
  <c r="K19" i="4" s="1"/>
  <c r="K20" i="4" s="1"/>
  <c r="D51" i="3"/>
  <c r="E51" i="3" s="1"/>
  <c r="F51" i="3" s="1"/>
  <c r="G51" i="3" s="1"/>
  <c r="H51" i="3" s="1"/>
  <c r="J45" i="3"/>
  <c r="L18" i="3"/>
  <c r="L21" i="3" s="1"/>
  <c r="L24" i="3" s="1"/>
  <c r="L34" i="3" s="1"/>
  <c r="L36" i="3" s="1"/>
  <c r="M15" i="3"/>
  <c r="K39" i="3"/>
  <c r="K40" i="3" s="1"/>
  <c r="I58" i="3"/>
  <c r="H40" i="1"/>
  <c r="H44" i="1" s="1"/>
  <c r="I45" i="1"/>
  <c r="I33" i="1"/>
  <c r="I35" i="1" s="1"/>
  <c r="I37" i="1" s="1"/>
  <c r="K29" i="1"/>
  <c r="J30" i="1"/>
  <c r="J31" i="1" s="1"/>
  <c r="E49" i="1"/>
  <c r="F49" i="1" s="1"/>
  <c r="G49" i="1" s="1"/>
  <c r="G57" i="1"/>
  <c r="M8" i="4" l="1"/>
  <c r="M18" i="4" s="1"/>
  <c r="M19" i="4" s="1"/>
  <c r="L18" i="4"/>
  <c r="L19" i="4" s="1"/>
  <c r="L20" i="4" s="1"/>
  <c r="L12" i="4"/>
  <c r="L13" i="4" s="1"/>
  <c r="M10" i="4"/>
  <c r="M12" i="4" s="1"/>
  <c r="M13" i="4" s="1"/>
  <c r="J49" i="3"/>
  <c r="I50" i="3"/>
  <c r="N15" i="3"/>
  <c r="N18" i="3" s="1"/>
  <c r="N21" i="3" s="1"/>
  <c r="N24" i="3" s="1"/>
  <c r="N34" i="3" s="1"/>
  <c r="N36" i="3" s="1"/>
  <c r="M18" i="3"/>
  <c r="M21" i="3" s="1"/>
  <c r="M24" i="3" s="1"/>
  <c r="M34" i="3" s="1"/>
  <c r="M36" i="3" s="1"/>
  <c r="K45" i="3"/>
  <c r="K49" i="3" s="1"/>
  <c r="K57" i="3" s="1"/>
  <c r="L39" i="3"/>
  <c r="L45" i="3" s="1"/>
  <c r="L49" i="3" s="1"/>
  <c r="L57" i="3" s="1"/>
  <c r="I59" i="3"/>
  <c r="J50" i="3"/>
  <c r="I40" i="1"/>
  <c r="I44" i="1" s="1"/>
  <c r="I47" i="1" s="1"/>
  <c r="I55" i="1" s="1"/>
  <c r="I56" i="1" s="1"/>
  <c r="J45" i="1"/>
  <c r="J33" i="1"/>
  <c r="J35" i="1" s="1"/>
  <c r="J37" i="1" s="1"/>
  <c r="H41" i="1"/>
  <c r="K30" i="1"/>
  <c r="K31" i="1" s="1"/>
  <c r="L29" i="1"/>
  <c r="H46" i="1"/>
  <c r="H47" i="1"/>
  <c r="H55" i="1" s="1"/>
  <c r="H56" i="1" s="1"/>
  <c r="H57" i="1" s="1"/>
  <c r="J57" i="3" l="1"/>
  <c r="J58" i="3" s="1"/>
  <c r="J59" i="3" s="1"/>
  <c r="M20" i="4"/>
  <c r="C22" i="4"/>
  <c r="C21" i="4"/>
  <c r="L58" i="3"/>
  <c r="L40" i="3"/>
  <c r="K58" i="3"/>
  <c r="N39" i="3"/>
  <c r="N40" i="3" s="1"/>
  <c r="M39" i="3"/>
  <c r="M40" i="3" s="1"/>
  <c r="I51" i="3"/>
  <c r="J51" i="3" s="1"/>
  <c r="I41" i="1"/>
  <c r="I57" i="1"/>
  <c r="J40" i="1"/>
  <c r="J44" i="1" s="1"/>
  <c r="I46" i="1"/>
  <c r="I48" i="1" s="1"/>
  <c r="K45" i="1"/>
  <c r="K33" i="1"/>
  <c r="K35" i="1" s="1"/>
  <c r="K37" i="1" s="1"/>
  <c r="H48" i="1"/>
  <c r="H49" i="1" s="1"/>
  <c r="M29" i="1"/>
  <c r="L30" i="1"/>
  <c r="L31" i="1" s="1"/>
  <c r="N45" i="3" l="1"/>
  <c r="N49" i="3" s="1"/>
  <c r="N57" i="3" s="1"/>
  <c r="K50" i="3"/>
  <c r="L50" i="3"/>
  <c r="N58" i="3"/>
  <c r="M45" i="3"/>
  <c r="M49" i="3" s="1"/>
  <c r="M57" i="3" s="1"/>
  <c r="K59" i="3"/>
  <c r="L59" i="3"/>
  <c r="M30" i="1"/>
  <c r="M31" i="1" s="1"/>
  <c r="N29" i="1"/>
  <c r="N30" i="1" s="1"/>
  <c r="N31" i="1" s="1"/>
  <c r="I49" i="1"/>
  <c r="J41" i="1"/>
  <c r="K40" i="1"/>
  <c r="K44" i="1" s="1"/>
  <c r="J47" i="1"/>
  <c r="J55" i="1" s="1"/>
  <c r="J56" i="1" s="1"/>
  <c r="J57" i="1" s="1"/>
  <c r="J46" i="1"/>
  <c r="L33" i="1"/>
  <c r="L35" i="1" s="1"/>
  <c r="L37" i="1" s="1"/>
  <c r="L45" i="1"/>
  <c r="J48" i="1" l="1"/>
  <c r="J49" i="1" s="1"/>
  <c r="K51" i="3"/>
  <c r="L51" i="3" s="1"/>
  <c r="M58" i="3"/>
  <c r="N59" i="3" s="1"/>
  <c r="N50" i="3"/>
  <c r="K41" i="1"/>
  <c r="N45" i="1"/>
  <c r="N33" i="1"/>
  <c r="N35" i="1" s="1"/>
  <c r="N37" i="1" s="1"/>
  <c r="L40" i="1"/>
  <c r="L44" i="1" s="1"/>
  <c r="K47" i="1"/>
  <c r="K55" i="1" s="1"/>
  <c r="K56" i="1" s="1"/>
  <c r="K57" i="1" s="1"/>
  <c r="K46" i="1"/>
  <c r="M45" i="1"/>
  <c r="M33" i="1"/>
  <c r="M35" i="1" s="1"/>
  <c r="M37" i="1" s="1"/>
  <c r="M50" i="3" l="1"/>
  <c r="D53" i="3" s="1"/>
  <c r="M59" i="3"/>
  <c r="D60" i="3"/>
  <c r="K48" i="1"/>
  <c r="K49" i="1" s="1"/>
  <c r="L46" i="1"/>
  <c r="L47" i="1"/>
  <c r="L55" i="1" s="1"/>
  <c r="L56" i="1" s="1"/>
  <c r="L41" i="1"/>
  <c r="N40" i="1"/>
  <c r="N44" i="1" s="1"/>
  <c r="M40" i="1"/>
  <c r="M44" i="1" s="1"/>
  <c r="M41" i="1"/>
  <c r="M51" i="3" l="1"/>
  <c r="N51" i="3" s="1"/>
  <c r="D52" i="3"/>
  <c r="N41" i="1"/>
  <c r="M46" i="1"/>
  <c r="M47" i="1"/>
  <c r="M55" i="1" s="1"/>
  <c r="M56" i="1" s="1"/>
  <c r="M57" i="1" s="1"/>
  <c r="L57" i="1"/>
  <c r="N46" i="1"/>
  <c r="N47" i="1"/>
  <c r="N55" i="1" s="1"/>
  <c r="N56" i="1" s="1"/>
  <c r="L48" i="1"/>
  <c r="D59" i="1" l="1"/>
  <c r="N57" i="1"/>
  <c r="L49" i="1"/>
  <c r="N48" i="1"/>
  <c r="D58" i="1"/>
  <c r="M48" i="1"/>
  <c r="M49" i="1" l="1"/>
  <c r="N49" i="1" s="1"/>
  <c r="D50" i="1"/>
</calcChain>
</file>

<file path=xl/sharedStrings.xml><?xml version="1.0" encoding="utf-8"?>
<sst xmlns="http://schemas.openxmlformats.org/spreadsheetml/2006/main" count="177" uniqueCount="84">
  <si>
    <t>Total Volume</t>
  </si>
  <si>
    <t>Domestic Turnover in million Yuans</t>
  </si>
  <si>
    <t>Export turnover in million yuans</t>
  </si>
  <si>
    <t>Total Turnover in million Yuans</t>
  </si>
  <si>
    <t>Adm</t>
  </si>
  <si>
    <t>Total prod  costs</t>
  </si>
  <si>
    <t>Total Costs</t>
  </si>
  <si>
    <t>Growth margin (million Yuans)</t>
  </si>
  <si>
    <t>Earning Before Taxes (million yuans)</t>
  </si>
  <si>
    <t xml:space="preserve">Unit cost= =25-((0.25*LOG10Cum Vol)) </t>
  </si>
  <si>
    <t>Exchange rate Yuan/$</t>
  </si>
  <si>
    <t>Selling price domestic Y</t>
  </si>
  <si>
    <t>Selling price export $</t>
  </si>
  <si>
    <t>Domestic Sales in Volume (million Kg)</t>
  </si>
  <si>
    <t>Export sales volume (mllion Kg)</t>
  </si>
  <si>
    <t>Cumulated Volume</t>
  </si>
  <si>
    <t>Yuan/Kg</t>
  </si>
  <si>
    <t>$/Kg</t>
  </si>
  <si>
    <t xml:space="preserve">Depreciation( 25%/year)(million yuan) </t>
  </si>
  <si>
    <t>Tax Shield</t>
  </si>
  <si>
    <t>Export turnover in million $</t>
  </si>
  <si>
    <t>Effective taxes (30%)</t>
  </si>
  <si>
    <t>Subsidiary cash flow</t>
  </si>
  <si>
    <t>Free cash flow in 1000Yuans</t>
  </si>
  <si>
    <t>IRR</t>
  </si>
  <si>
    <t>Shareholder cash flow</t>
  </si>
  <si>
    <t>Investment Costs in million $</t>
  </si>
  <si>
    <t>Shareholder cash flow in $</t>
  </si>
  <si>
    <t>Shareholder cumulative cash in $</t>
  </si>
  <si>
    <t>Shareholder NPV WACC (million $)</t>
  </si>
  <si>
    <t>Shareholder IRR</t>
  </si>
  <si>
    <t>Investment costs in million $</t>
  </si>
  <si>
    <t>Working capital requirement=</t>
  </si>
  <si>
    <t>Tax rate on profit=</t>
  </si>
  <si>
    <t>of Turnover</t>
  </si>
  <si>
    <t xml:space="preserve">on Earningbefore taxes </t>
  </si>
  <si>
    <t>OPTION: GREEN FIELD ENTRY 100% OWNERSHIP</t>
  </si>
  <si>
    <t>First alternative: greenfield 100% operation</t>
  </si>
  <si>
    <t xml:space="preserve"> Working capital requirement (33% of added Production Costs)</t>
  </si>
  <si>
    <t>Investment costs in million Y</t>
  </si>
  <si>
    <t>Dividend servicing (80% of positive earnings)</t>
  </si>
  <si>
    <t>NPV at WACC in Y</t>
  </si>
  <si>
    <t>Cumulative Subsidiary cash flow</t>
  </si>
  <si>
    <t>Shareholder cash flow in §</t>
  </si>
  <si>
    <t>Subsidiary cash flow in yuan</t>
  </si>
  <si>
    <t>Earnings after taxes</t>
  </si>
  <si>
    <t xml:space="preserve">Earnings after taxes </t>
  </si>
  <si>
    <t>OPTION: ACQUISITION</t>
  </si>
  <si>
    <t>Second alternative: Acquisition</t>
  </si>
  <si>
    <t>Market ( Million Kg) yearly growh +8%</t>
  </si>
  <si>
    <t>Market share</t>
  </si>
  <si>
    <t>Negative</t>
  </si>
  <si>
    <t xml:space="preserve">Additional in 5th year </t>
  </si>
  <si>
    <t>Dividend 90% of Net profit(if positive)</t>
  </si>
  <si>
    <t>Dividend servicing (90% of positive earnings)</t>
  </si>
  <si>
    <t>Free cash flow in MYuans</t>
  </si>
  <si>
    <t>OPTION: JOINT VENTURE</t>
  </si>
  <si>
    <t>Debt Refund  in Y at 10% rate</t>
  </si>
  <si>
    <t>Dividend servicing (80% of positive earnings) in Y</t>
  </si>
  <si>
    <t>Dividend 50% of dividend servicing in $</t>
  </si>
  <si>
    <t xml:space="preserve">Licensing fees </t>
  </si>
  <si>
    <t>Years</t>
  </si>
  <si>
    <t>Exchange rate 1$=</t>
  </si>
  <si>
    <t>Market Share</t>
  </si>
  <si>
    <t>Shareholder cash flow in M$</t>
  </si>
  <si>
    <t>Shareholder cumulative cash in M$</t>
  </si>
  <si>
    <t>Shareholder NPV WACC</t>
  </si>
  <si>
    <t>Yuans/Kg</t>
  </si>
  <si>
    <t>Market growth rate</t>
  </si>
  <si>
    <t>Dividend 80% of Net profit(if positive) in M$</t>
  </si>
  <si>
    <t>Additional Investmant M$</t>
  </si>
  <si>
    <t xml:space="preserve">Capital Inflow  =1/3 *(30 M$*6.58= in MY </t>
  </si>
  <si>
    <t xml:space="preserve">Debts  2/3 *(30 M$*6.5) in MY </t>
  </si>
  <si>
    <t>Investment in M $ ( 50% of 10) in M$</t>
  </si>
  <si>
    <t>market price /Kg in Yuans</t>
  </si>
  <si>
    <t>Domestic Market in Volume(million Kg)</t>
  </si>
  <si>
    <t>Domestic Sales in Volume (million KG)</t>
  </si>
  <si>
    <t>LUBRICADOR</t>
  </si>
  <si>
    <t>CF posistive</t>
  </si>
  <si>
    <t>Third alternative: Joint Venture</t>
  </si>
  <si>
    <t>Market ( Million Lt) yearly growh +8%</t>
  </si>
  <si>
    <t>Domestic Sales in Volume (million Lt)</t>
  </si>
  <si>
    <t>Export sales volume (mllion Lt)</t>
  </si>
  <si>
    <t>Yuan/Lt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</si>
</sst>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6"/>
      <color rgb="FF000000"/>
      <name val="Times New Roman"/>
      <family val="1"/>
    </font>
    <font>
      <b/>
      <u/>
      <sz val="16"/>
      <name val="Times New Roman"/>
      <family val="1"/>
    </font>
    <font>
      <b/>
      <i/>
      <u/>
      <sz val="16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2" fillId="0" borderId="0" xfId="0" applyNumberFormat="1" applyFont="1"/>
    <xf numFmtId="0" fontId="3" fillId="0" borderId="0" xfId="0" applyFont="1"/>
    <xf numFmtId="2" fontId="0" fillId="0" borderId="0" xfId="0" applyNumberForma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1" fontId="0" fillId="0" borderId="0" xfId="0" applyNumberFormat="1"/>
    <xf numFmtId="9" fontId="7" fillId="0" borderId="0" xfId="0" applyNumberFormat="1" applyFont="1"/>
    <xf numFmtId="165" fontId="7" fillId="0" borderId="0" xfId="1" applyNumberFormat="1" applyFont="1"/>
    <xf numFmtId="9" fontId="2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10" fillId="0" borderId="0" xfId="0" applyFont="1"/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9" fontId="2" fillId="2" borderId="0" xfId="0" applyNumberFormat="1" applyFont="1" applyFill="1"/>
    <xf numFmtId="0" fontId="0" fillId="2" borderId="0" xfId="0" applyFill="1" applyAlignment="1">
      <alignment horizontal="left"/>
    </xf>
    <xf numFmtId="2" fontId="2" fillId="2" borderId="0" xfId="0" applyNumberFormat="1" applyFont="1" applyFill="1"/>
    <xf numFmtId="0" fontId="4" fillId="2" borderId="0" xfId="0" applyFont="1" applyFill="1" applyAlignment="1">
      <alignment horizontal="left" indent="3"/>
    </xf>
    <xf numFmtId="9" fontId="4" fillId="2" borderId="0" xfId="1" applyFont="1" applyFill="1" applyAlignment="1">
      <alignment horizontal="left" indent="3"/>
    </xf>
    <xf numFmtId="10" fontId="4" fillId="2" borderId="0" xfId="0" applyNumberFormat="1" applyFont="1" applyFill="1" applyAlignment="1">
      <alignment horizontal="left" indent="3"/>
    </xf>
    <xf numFmtId="0" fontId="3" fillId="2" borderId="0" xfId="0" applyFont="1" applyFill="1"/>
    <xf numFmtId="9" fontId="7" fillId="2" borderId="0" xfId="0" applyNumberFormat="1" applyFont="1" applyFill="1"/>
    <xf numFmtId="0" fontId="4" fillId="2" borderId="0" xfId="0" applyFont="1" applyFill="1"/>
    <xf numFmtId="164" fontId="2" fillId="2" borderId="0" xfId="0" applyNumberFormat="1" applyFont="1" applyFill="1"/>
    <xf numFmtId="2" fontId="0" fillId="2" borderId="0" xfId="0" applyNumberForma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9" fontId="0" fillId="2" borderId="0" xfId="0" applyNumberFormat="1" applyFill="1"/>
    <xf numFmtId="2" fontId="8" fillId="2" borderId="0" xfId="0" applyNumberFormat="1" applyFont="1" applyFill="1"/>
    <xf numFmtId="9" fontId="8" fillId="2" borderId="0" xfId="0" applyNumberFormat="1" applyFont="1" applyFill="1"/>
    <xf numFmtId="0" fontId="14" fillId="2" borderId="0" xfId="0" applyFont="1" applyFill="1"/>
    <xf numFmtId="0" fontId="15" fillId="2" borderId="0" xfId="0" applyFont="1" applyFill="1"/>
    <xf numFmtId="0" fontId="16" fillId="0" borderId="0" xfId="0" applyFont="1"/>
    <xf numFmtId="2" fontId="15" fillId="2" borderId="0" xfId="0" applyNumberFormat="1" applyFont="1" applyFill="1"/>
    <xf numFmtId="9" fontId="15" fillId="2" borderId="0" xfId="0" applyNumberFormat="1" applyFont="1" applyFill="1" applyAlignment="1">
      <alignment horizontal="right"/>
    </xf>
    <xf numFmtId="0" fontId="18" fillId="2" borderId="0" xfId="0" applyFont="1" applyFill="1"/>
    <xf numFmtId="0" fontId="19" fillId="0" borderId="0" xfId="0" applyFont="1"/>
    <xf numFmtId="0" fontId="19" fillId="2" borderId="0" xfId="0" applyFont="1" applyFill="1"/>
    <xf numFmtId="0" fontId="7" fillId="2" borderId="0" xfId="0" applyFont="1" applyFill="1"/>
    <xf numFmtId="0" fontId="6" fillId="2" borderId="0" xfId="0" applyFont="1" applyFill="1"/>
    <xf numFmtId="2" fontId="9" fillId="0" borderId="0" xfId="0" applyNumberFormat="1" applyFont="1"/>
    <xf numFmtId="9" fontId="9" fillId="0" borderId="0" xfId="0" applyNumberFormat="1" applyFont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2" fontId="19" fillId="0" borderId="0" xfId="0" applyNumberFormat="1" applyFont="1"/>
    <xf numFmtId="2" fontId="19" fillId="2" borderId="0" xfId="0" applyNumberFormat="1" applyFont="1" applyFill="1"/>
    <xf numFmtId="0" fontId="20" fillId="2" borderId="0" xfId="0" applyFont="1" applyFill="1"/>
    <xf numFmtId="2" fontId="20" fillId="2" borderId="0" xfId="0" applyNumberFormat="1" applyFont="1" applyFill="1"/>
    <xf numFmtId="9" fontId="20" fillId="2" borderId="0" xfId="0" applyNumberFormat="1" applyFont="1" applyFill="1" applyAlignment="1">
      <alignment horizontal="right"/>
    </xf>
    <xf numFmtId="9" fontId="19" fillId="2" borderId="0" xfId="0" applyNumberFormat="1" applyFont="1" applyFill="1"/>
    <xf numFmtId="9" fontId="20" fillId="2" borderId="0" xfId="0" applyNumberFormat="1" applyFont="1" applyFill="1"/>
    <xf numFmtId="1" fontId="19" fillId="0" borderId="0" xfId="0" applyNumberFormat="1" applyFont="1"/>
    <xf numFmtId="0" fontId="10" fillId="2" borderId="0" xfId="0" applyFont="1" applyFill="1"/>
    <xf numFmtId="164" fontId="19" fillId="2" borderId="0" xfId="0" applyNumberFormat="1" applyFont="1" applyFill="1"/>
    <xf numFmtId="164" fontId="19" fillId="0" borderId="0" xfId="0" applyNumberFormat="1" applyFont="1"/>
    <xf numFmtId="0" fontId="12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9" fontId="4" fillId="2" borderId="0" xfId="0" applyNumberFormat="1" applyFont="1" applyFill="1" applyAlignment="1">
      <alignment horizontal="left" indent="3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Greenfield</a:t>
            </a:r>
          </a:p>
          <a:p>
            <a:pPr>
              <a:defRPr/>
            </a:pPr>
            <a:r>
              <a:rPr lang="fr-FR"/>
              <a:t>Shareholder Cash Flow (M$)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Greenfield!$D$16:$M$16</c:f>
              <c:numCache>
                <c:formatCode>General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Greenfield!$D$56:$N$56</c:f>
              <c:numCache>
                <c:formatCode>0.00</c:formatCode>
                <c:ptCount val="11"/>
                <c:pt idx="0" formatCode="General">
                  <c:v>-20</c:v>
                </c:pt>
                <c:pt idx="1">
                  <c:v>4.1935636532614433</c:v>
                </c:pt>
                <c:pt idx="2">
                  <c:v>5.951093776941307</c:v>
                </c:pt>
                <c:pt idx="3">
                  <c:v>7.9130758634079692</c:v>
                </c:pt>
                <c:pt idx="4">
                  <c:v>12.906285803658029</c:v>
                </c:pt>
                <c:pt idx="5">
                  <c:v>15.017825982969731</c:v>
                </c:pt>
                <c:pt idx="6">
                  <c:v>16.334584874902685</c:v>
                </c:pt>
                <c:pt idx="7">
                  <c:v>17.515826012808347</c:v>
                </c:pt>
                <c:pt idx="8">
                  <c:v>18.787187168361083</c:v>
                </c:pt>
                <c:pt idx="9">
                  <c:v>20.157130308396106</c:v>
                </c:pt>
                <c:pt idx="10">
                  <c:v>21.634415051761835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2-6E47-BC97-309BBDCF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263056"/>
        <c:axId val="1039570240"/>
      </c:lineChart>
      <c:catAx>
        <c:axId val="10602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9570240"/>
        <c:crosses val="autoZero"/>
        <c:auto val="1"/>
        <c:lblAlgn val="ctr"/>
        <c:lblOffset val="100"/>
        <c:noMultiLvlLbl val="0"/>
      </c:catAx>
      <c:valAx>
        <c:axId val="103957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26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Greenfield</a:t>
            </a:r>
          </a:p>
          <a:p>
            <a:pPr>
              <a:defRPr/>
            </a:pPr>
            <a:r>
              <a:rPr lang="fr-FR"/>
              <a:t>Subsidiary Cash Flow (MY)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Greenfield!$D$16:$N$16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Greenfield!$D$48:$N$48</c:f>
              <c:numCache>
                <c:formatCode>0.00</c:formatCode>
                <c:ptCount val="11"/>
                <c:pt idx="0">
                  <c:v>-60.219999999999985</c:v>
                </c:pt>
                <c:pt idx="1">
                  <c:v>-8.9351947248636705</c:v>
                </c:pt>
                <c:pt idx="2">
                  <c:v>-7.7407176823628951</c:v>
                </c:pt>
                <c:pt idx="3">
                  <c:v>-6.3550034644194326</c:v>
                </c:pt>
                <c:pt idx="4">
                  <c:v>-0.17607690166295242</c:v>
                </c:pt>
                <c:pt idx="5">
                  <c:v>1.0416053088663091</c:v>
                </c:pt>
                <c:pt idx="6">
                  <c:v>13.513883293052913</c:v>
                </c:pt>
                <c:pt idx="7">
                  <c:v>18.731077559296324</c:v>
                </c:pt>
                <c:pt idx="8">
                  <c:v>19.998889529086924</c:v>
                </c:pt>
                <c:pt idx="9">
                  <c:v>21.367838739792774</c:v>
                </c:pt>
                <c:pt idx="10">
                  <c:v>22.845981598103833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C-3F45-B42D-6CF06A27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18352"/>
        <c:axId val="1094602864"/>
      </c:lineChart>
      <c:catAx>
        <c:axId val="110791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4602864"/>
        <c:crosses val="autoZero"/>
        <c:auto val="1"/>
        <c:lblAlgn val="ctr"/>
        <c:lblOffset val="100"/>
        <c:noMultiLvlLbl val="0"/>
      </c:catAx>
      <c:valAx>
        <c:axId val="10946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79183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Acquisition</a:t>
            </a:r>
          </a:p>
          <a:p>
            <a:pPr>
              <a:defRPr/>
            </a:pPr>
            <a:r>
              <a:rPr lang="fr-FR"/>
              <a:t>Shareholder Cash Flow (M$)</a:t>
            </a:r>
          </a:p>
        </c:rich>
      </c:tx>
      <c:layout>
        <c:manualLayout>
          <c:xMode val="edge"/>
          <c:yMode val="edge"/>
          <c:x val="0.30564398573684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Acquisition!$D$56:$N$56</c:f>
              <c:numCache>
                <c:formatCode>0.00</c:formatCode>
                <c:ptCount val="11"/>
                <c:pt idx="0">
                  <c:v>-70</c:v>
                </c:pt>
                <c:pt idx="1">
                  <c:v>26.368315170371659</c:v>
                </c:pt>
                <c:pt idx="2">
                  <c:v>26.258591466885214</c:v>
                </c:pt>
                <c:pt idx="3">
                  <c:v>25.856134532446131</c:v>
                </c:pt>
                <c:pt idx="4">
                  <c:v>36.146138399712292</c:v>
                </c:pt>
                <c:pt idx="5">
                  <c:v>34.648628856103947</c:v>
                </c:pt>
                <c:pt idx="6">
                  <c:v>37.558244011107547</c:v>
                </c:pt>
                <c:pt idx="7">
                  <c:v>40.428419814793649</c:v>
                </c:pt>
                <c:pt idx="8">
                  <c:v>43.522929035719415</c:v>
                </c:pt>
                <c:pt idx="9">
                  <c:v>46.861289418853154</c:v>
                </c:pt>
                <c:pt idx="10">
                  <c:v>50.464105657806449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B-684D-B961-EB0AC5206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263056"/>
        <c:axId val="1039570240"/>
      </c:lineChart>
      <c:catAx>
        <c:axId val="10602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9570240"/>
        <c:crosses val="autoZero"/>
        <c:auto val="1"/>
        <c:lblAlgn val="ctr"/>
        <c:lblOffset val="100"/>
        <c:noMultiLvlLbl val="0"/>
      </c:catAx>
      <c:valAx>
        <c:axId val="103957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26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Acquisition</a:t>
            </a:r>
          </a:p>
          <a:p>
            <a:pPr>
              <a:defRPr/>
            </a:pPr>
            <a:r>
              <a:rPr lang="fr-FR"/>
              <a:t>Subsidiary Cash Flow (MY)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Acquisition!$D$47:$N$47</c:f>
              <c:strCache>
                <c:ptCount val="11"/>
                <c:pt idx="0">
                  <c:v>101.83</c:v>
                </c:pt>
                <c:pt idx="1">
                  <c:v>1.07</c:v>
                </c:pt>
                <c:pt idx="2">
                  <c:v>-1.03</c:v>
                </c:pt>
                <c:pt idx="3">
                  <c:v>-3.54</c:v>
                </c:pt>
                <c:pt idx="4">
                  <c:v>1.55</c:v>
                </c:pt>
                <c:pt idx="5">
                  <c:v>-2.25</c:v>
                </c:pt>
                <c:pt idx="6">
                  <c:v>12.24</c:v>
                </c:pt>
                <c:pt idx="7">
                  <c:v>17.46</c:v>
                </c:pt>
                <c:pt idx="8">
                  <c:v>18.73</c:v>
                </c:pt>
                <c:pt idx="9">
                  <c:v>20.11</c:v>
                </c:pt>
                <c:pt idx="10">
                  <c:v>21.61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Acquisition!$D$47:$N$47</c:f>
              <c:numCache>
                <c:formatCode>0.00</c:formatCode>
                <c:ptCount val="11"/>
                <c:pt idx="0">
                  <c:v>101.8297447807106</c:v>
                </c:pt>
                <c:pt idx="1">
                  <c:v>1.0732472944382323</c:v>
                </c:pt>
                <c:pt idx="2">
                  <c:v>-1.0346830477827496</c:v>
                </c:pt>
                <c:pt idx="3">
                  <c:v>-3.5353816536449756</c:v>
                </c:pt>
                <c:pt idx="4">
                  <c:v>1.5482984169669578</c:v>
                </c:pt>
                <c:pt idx="5">
                  <c:v>-2.2514456711074331</c:v>
                </c:pt>
                <c:pt idx="6">
                  <c:v>12.237185933474223</c:v>
                </c:pt>
                <c:pt idx="7">
                  <c:v>17.456128085294438</c:v>
                </c:pt>
                <c:pt idx="8">
                  <c:v>18.732234422288116</c:v>
                </c:pt>
                <c:pt idx="9">
                  <c:v>20.113132114477878</c:v>
                </c:pt>
                <c:pt idx="10">
                  <c:v>21.606370863965537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C-ED4F-8A17-7F9666D7D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18352"/>
        <c:axId val="1094602864"/>
      </c:lineChart>
      <c:catAx>
        <c:axId val="110791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4602864"/>
        <c:crosses val="autoZero"/>
        <c:auto val="1"/>
        <c:lblAlgn val="ctr"/>
        <c:lblOffset val="100"/>
        <c:noMultiLvlLbl val="0"/>
      </c:catAx>
      <c:valAx>
        <c:axId val="10946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79183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Joint Venture</a:t>
            </a:r>
          </a:p>
          <a:p>
            <a:pPr>
              <a:defRPr/>
            </a:pPr>
            <a:r>
              <a:rPr lang="fr-FR"/>
              <a:t>Shareholder Cash Flow (M$)</a:t>
            </a:r>
          </a:p>
        </c:rich>
      </c:tx>
      <c:layout>
        <c:manualLayout>
          <c:xMode val="edge"/>
          <c:yMode val="edge"/>
          <c:x val="0.30564398573684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'JOINT venture'!$D$14:$N$14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'JOINT venture'!$D$58:$N$58</c:f>
              <c:numCache>
                <c:formatCode>0.00</c:formatCode>
                <c:ptCount val="11"/>
                <c:pt idx="0">
                  <c:v>10.70952467592277</c:v>
                </c:pt>
                <c:pt idx="1">
                  <c:v>15.149251186831846</c:v>
                </c:pt>
                <c:pt idx="2">
                  <c:v>31.84239999001046</c:v>
                </c:pt>
                <c:pt idx="3">
                  <c:v>32.423283432860231</c:v>
                </c:pt>
                <c:pt idx="4">
                  <c:v>35.06755193178703</c:v>
                </c:pt>
                <c:pt idx="5">
                  <c:v>29.494166880984135</c:v>
                </c:pt>
                <c:pt idx="6">
                  <c:v>31.50570943387595</c:v>
                </c:pt>
                <c:pt idx="7">
                  <c:v>34.144357404436931</c:v>
                </c:pt>
                <c:pt idx="8">
                  <c:v>36.992141417437182</c:v>
                </c:pt>
                <c:pt idx="9">
                  <c:v>40.066374234638161</c:v>
                </c:pt>
                <c:pt idx="10">
                  <c:v>43.385577908759217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76-E045-ABD1-8FBC75DAA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263056"/>
        <c:axId val="1039570240"/>
      </c:lineChart>
      <c:catAx>
        <c:axId val="10602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9570240"/>
        <c:crosses val="autoZero"/>
        <c:auto val="1"/>
        <c:lblAlgn val="ctr"/>
        <c:lblOffset val="100"/>
        <c:noMultiLvlLbl val="0"/>
      </c:catAx>
      <c:valAx>
        <c:axId val="103957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26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Joint Venture</a:t>
            </a:r>
          </a:p>
          <a:p>
            <a:pPr>
              <a:defRPr/>
            </a:pPr>
            <a:r>
              <a:rPr lang="fr-FR"/>
              <a:t>Subsidiary Cash Flow (MY)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'JOINT venture'!$D$14:$N$14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'JOINT venture'!$D$50:$N$50</c:f>
              <c:numCache>
                <c:formatCode>0.00</c:formatCode>
                <c:ptCount val="11"/>
                <c:pt idx="0">
                  <c:v>-65.151963715031428</c:v>
                </c:pt>
                <c:pt idx="1">
                  <c:v>4.6047517361782013</c:v>
                </c:pt>
                <c:pt idx="2">
                  <c:v>57.497501175186017</c:v>
                </c:pt>
                <c:pt idx="3">
                  <c:v>57.202149832811756</c:v>
                </c:pt>
                <c:pt idx="4">
                  <c:v>63.462337104158223</c:v>
                </c:pt>
                <c:pt idx="5">
                  <c:v>61.828163872956736</c:v>
                </c:pt>
                <c:pt idx="6">
                  <c:v>82.131113507474879</c:v>
                </c:pt>
                <c:pt idx="7">
                  <c:v>122.70038418675119</c:v>
                </c:pt>
                <c:pt idx="8">
                  <c:v>132.95711173221525</c:v>
                </c:pt>
                <c:pt idx="9">
                  <c:v>144.0343682177122</c:v>
                </c:pt>
                <c:pt idx="10">
                  <c:v>155.99776408903949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1B-F14B-A163-ED18AB388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18352"/>
        <c:axId val="1094602864"/>
      </c:lineChart>
      <c:catAx>
        <c:axId val="110791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4602864"/>
        <c:crosses val="autoZero"/>
        <c:auto val="1"/>
        <c:lblAlgn val="ctr"/>
        <c:lblOffset val="100"/>
        <c:noMultiLvlLbl val="0"/>
      </c:catAx>
      <c:valAx>
        <c:axId val="10946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79183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LICENSING</a:t>
            </a:r>
          </a:p>
          <a:p>
            <a:pPr>
              <a:defRPr/>
            </a:pPr>
            <a:r>
              <a:rPr lang="fr-FR" b="1"/>
              <a:t>Shareholder Cash Flow</a:t>
            </a:r>
          </a:p>
        </c:rich>
      </c:tx>
      <c:layout>
        <c:manualLayout>
          <c:xMode val="edge"/>
          <c:yMode val="edge"/>
          <c:x val="0.309882403733475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721865876316021"/>
          <c:y val="0.11982413590706226"/>
          <c:w val="0.86984782801026272"/>
          <c:h val="0.8647257383966244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LIcensing!$C$6:$M$6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LIcensing!$C$19:$M$19</c:f>
              <c:numCache>
                <c:formatCode>0.00</c:formatCode>
                <c:ptCount val="11"/>
                <c:pt idx="0">
                  <c:v>-0.2</c:v>
                </c:pt>
                <c:pt idx="1">
                  <c:v>-0.2</c:v>
                </c:pt>
                <c:pt idx="2">
                  <c:v>-0.2</c:v>
                </c:pt>
                <c:pt idx="3">
                  <c:v>5.4711246200607899</c:v>
                </c:pt>
                <c:pt idx="4">
                  <c:v>5.4711246200607899</c:v>
                </c:pt>
                <c:pt idx="5">
                  <c:v>4.5592705167173255</c:v>
                </c:pt>
                <c:pt idx="6">
                  <c:v>4.5592705167173255</c:v>
                </c:pt>
                <c:pt idx="7">
                  <c:v>4.5592705167173255</c:v>
                </c:pt>
                <c:pt idx="8">
                  <c:v>4.5592705167173255</c:v>
                </c:pt>
                <c:pt idx="9">
                  <c:v>4.5592705167173255</c:v>
                </c:pt>
                <c:pt idx="10">
                  <c:v>4.5592705167173255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B-D744-A7CC-550E6710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16992"/>
        <c:axId val="58840800"/>
      </c:lineChart>
      <c:catAx>
        <c:axId val="594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840800"/>
        <c:crosses val="autoZero"/>
        <c:auto val="1"/>
        <c:lblAlgn val="ctr"/>
        <c:lblOffset val="100"/>
        <c:noMultiLvlLbl val="0"/>
      </c:catAx>
      <c:valAx>
        <c:axId val="5884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4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565150</xdr:colOff>
      <xdr:row>61</xdr:row>
      <xdr:rowOff>76200</xdr:rowOff>
    </xdr:from>
    <xdr:to>
      <xdr:col>13</xdr:col>
      <xdr:colOff>184150</xdr:colOff>
      <xdr:row>74</xdr:row>
      <xdr:rowOff>177800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0E31D96-2AA6-2AFD-552D-39DCF3CFA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996950</xdr:colOff>
      <xdr:row>60</xdr:row>
      <xdr:rowOff>63500</xdr:rowOff>
    </xdr:from>
    <xdr:to>
      <xdr:col>5</xdr:col>
      <xdr:colOff>698500</xdr:colOff>
      <xdr:row>74</xdr:row>
      <xdr:rowOff>177800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EDC8292-6EC7-B27E-616C-FCC5F9559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27</xdr:row>
      <xdr:rowOff>133350</xdr:rowOff>
    </xdr:from>
    <xdr:to>
      <xdr:col>7</xdr:col>
      <xdr:colOff>736600</xdr:colOff>
      <xdr:row>44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79B922F-E00B-7440-9655-44BD8F0FC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723900</xdr:colOff>
      <xdr:row>33</xdr:row>
      <xdr:rowOff>177800</xdr:rowOff>
    </xdr:from>
    <xdr:ext cx="1076320" cy="43653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88694F8-5580-B741-8977-CCB3CB450AF4}"/>
            </a:ext>
          </a:extLst>
        </xdr:cNvPr>
        <xdr:cNvSpPr txBox="1"/>
      </xdr:nvSpPr>
      <xdr:spPr>
        <a:xfrm>
          <a:off x="6985000" y="7086600"/>
          <a:ext cx="1076320" cy="43653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NPV=</a:t>
          </a:r>
          <a:r>
            <a:rPr lang="fr-FR" sz="1100" baseline="0"/>
            <a:t> 13.97 M$</a:t>
          </a:r>
        </a:p>
        <a:p>
          <a:r>
            <a:rPr lang="fr-FR" sz="1100" baseline="0"/>
            <a:t>IRR= 203%</a:t>
          </a:r>
          <a:endParaRPr lang="fr-FR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0.57917</cdr:x>
      <cdr:y>0.43056</cdr:y>
    </cdr:from>
    <cdr:to>
      <cdr:x>0.85139</cdr:x>
      <cdr:y>0.625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FE04321-2C2F-5EA2-2353-95F7153E12FB}"/>
            </a:ext>
          </a:extLst>
        </cdr:cNvPr>
        <cdr:cNvSpPr txBox="1"/>
      </cdr:nvSpPr>
      <cdr:spPr>
        <a:xfrm xmlns:a="http://schemas.openxmlformats.org/drawingml/2006/main">
          <a:off x="2647950" y="1181100"/>
          <a:ext cx="1244600" cy="5334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NPV= 33.97 M$</a:t>
          </a:r>
        </a:p>
        <a:p xmlns:a="http://schemas.openxmlformats.org/drawingml/2006/main">
          <a:r>
            <a:rPr lang="fr-FR" sz="1100"/>
            <a:t>IRR= 43%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0.63563</cdr:x>
      <cdr:y>0.47639</cdr:y>
    </cdr:from>
    <cdr:to>
      <cdr:x>0.88664</cdr:x>
      <cdr:y>0.6309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55690C7D-65BC-47F8-6A34-AFFDA50803D5}"/>
            </a:ext>
          </a:extLst>
        </cdr:cNvPr>
        <cdr:cNvSpPr txBox="1"/>
      </cdr:nvSpPr>
      <cdr:spPr>
        <a:xfrm xmlns:a="http://schemas.openxmlformats.org/drawingml/2006/main">
          <a:off x="2990850" y="1409700"/>
          <a:ext cx="11811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NPV =-26.69 MY</a:t>
          </a:r>
        </a:p>
        <a:p xmlns:a="http://schemas.openxmlformats.org/drawingml/2006/main">
          <a:r>
            <a:rPr lang="fr-FR" sz="1100"/>
            <a:t>IRR= Neg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565150</xdr:colOff>
      <xdr:row>61</xdr:row>
      <xdr:rowOff>76200</xdr:rowOff>
    </xdr:from>
    <xdr:to>
      <xdr:col>13</xdr:col>
      <xdr:colOff>393700</xdr:colOff>
      <xdr:row>76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9EF16D-C85B-AE42-85C7-3CE491347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996950</xdr:colOff>
      <xdr:row>60</xdr:row>
      <xdr:rowOff>63500</xdr:rowOff>
    </xdr:from>
    <xdr:to>
      <xdr:col>5</xdr:col>
      <xdr:colOff>698500</xdr:colOff>
      <xdr:row>74</xdr:row>
      <xdr:rowOff>177800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D19483B-3ACD-C84C-80C4-E9AA0EF32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0.57917</cdr:x>
      <cdr:y>0.43056</cdr:y>
    </cdr:from>
    <cdr:to>
      <cdr:x>0.85139</cdr:x>
      <cdr:y>0.625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FE04321-2C2F-5EA2-2353-95F7153E12FB}"/>
            </a:ext>
          </a:extLst>
        </cdr:cNvPr>
        <cdr:cNvSpPr txBox="1"/>
      </cdr:nvSpPr>
      <cdr:spPr>
        <a:xfrm xmlns:a="http://schemas.openxmlformats.org/drawingml/2006/main">
          <a:off x="2647950" y="1181100"/>
          <a:ext cx="1244600" cy="5334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NPV= 86.21 M$</a:t>
          </a:r>
        </a:p>
        <a:p xmlns:a="http://schemas.openxmlformats.org/drawingml/2006/main">
          <a:r>
            <a:rPr lang="fr-FR" sz="1100"/>
            <a:t>IRR= 42%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0.64913</cdr:x>
      <cdr:y>0.27467</cdr:y>
    </cdr:from>
    <cdr:to>
      <cdr:x>0.88664</cdr:x>
      <cdr:y>0.38197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55690C7D-65BC-47F8-6A34-AFFDA50803D5}"/>
            </a:ext>
          </a:extLst>
        </cdr:cNvPr>
        <cdr:cNvSpPr txBox="1"/>
      </cdr:nvSpPr>
      <cdr:spPr>
        <a:xfrm xmlns:a="http://schemas.openxmlformats.org/drawingml/2006/main">
          <a:off x="3054362" y="812786"/>
          <a:ext cx="1117588" cy="31751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NPV =-111.70 Y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565150</xdr:colOff>
      <xdr:row>63</xdr:row>
      <xdr:rowOff>76200</xdr:rowOff>
    </xdr:from>
    <xdr:to>
      <xdr:col>13</xdr:col>
      <xdr:colOff>393700</xdr:colOff>
      <xdr:row>78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C4BE66-8717-AF4E-A710-B6982688E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996950</xdr:colOff>
      <xdr:row>62</xdr:row>
      <xdr:rowOff>63500</xdr:rowOff>
    </xdr:from>
    <xdr:to>
      <xdr:col>5</xdr:col>
      <xdr:colOff>698500</xdr:colOff>
      <xdr:row>76</xdr:row>
      <xdr:rowOff>177800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FD0586-F804-7746-A926-5A0AB3195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0.57917</cdr:x>
      <cdr:y>0.43056</cdr:y>
    </cdr:from>
    <cdr:to>
      <cdr:x>0.85139</cdr:x>
      <cdr:y>0.625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FE04321-2C2F-5EA2-2353-95F7153E12FB}"/>
            </a:ext>
          </a:extLst>
        </cdr:cNvPr>
        <cdr:cNvSpPr txBox="1"/>
      </cdr:nvSpPr>
      <cdr:spPr>
        <a:xfrm xmlns:a="http://schemas.openxmlformats.org/drawingml/2006/main">
          <a:off x="2647950" y="1181100"/>
          <a:ext cx="1244600" cy="5334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NPV= 143.18 M</a:t>
          </a:r>
        </a:p>
        <a:p xmlns:a="http://schemas.openxmlformats.org/drawingml/2006/main">
          <a:r>
            <a:rPr lang="fr-FR" sz="1100"/>
            <a:t>Positive</a:t>
          </a:r>
          <a:r>
            <a:rPr lang="fr-FR" sz="1100" baseline="0"/>
            <a:t> stream of CF</a:t>
          </a:r>
          <a:endParaRPr lang="fr-FR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0.67342</cdr:x>
      <cdr:y>0.52789</cdr:y>
    </cdr:from>
    <cdr:to>
      <cdr:x>0.92443</cdr:x>
      <cdr:y>0.70815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55690C7D-65BC-47F8-6A34-AFFDA50803D5}"/>
            </a:ext>
          </a:extLst>
        </cdr:cNvPr>
        <cdr:cNvSpPr txBox="1"/>
      </cdr:nvSpPr>
      <cdr:spPr>
        <a:xfrm xmlns:a="http://schemas.openxmlformats.org/drawingml/2006/main">
          <a:off x="3168684" y="1562076"/>
          <a:ext cx="1181066" cy="5334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NPV =-253.54</a:t>
          </a:r>
        </a:p>
        <a:p xmlns:a="http://schemas.openxmlformats.org/drawingml/2006/main">
          <a:r>
            <a:rPr lang="fr-FR" sz="1100"/>
            <a:t>IRR= 64%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0A61-FCE7-B749-987D-1769DDECB425}">
  <dimension ref="B1:N59"/>
  <sheetViews>
    <sheetView topLeftCell="A25" workbookViewId="0">
      <selection activeCell="E21" sqref="E21"/>
    </sheetView>
  </sheetViews>
  <sheetFormatPr baseColWidth="10" defaultRowHeight="16" x14ac:dyDescent="0.2"/>
  <cols>
    <col min="1" max="1" width="3.83203125" style="40" customWidth="1"/>
    <col min="2" max="2" width="10.83203125" style="40"/>
    <col min="3" max="3" width="38" style="40" customWidth="1"/>
    <col min="4" max="4" width="16.83203125" style="40" bestFit="1" customWidth="1"/>
    <col min="5" max="16384" width="10.83203125" style="40"/>
  </cols>
  <sheetData>
    <row r="1" spans="2:14" ht="20" x14ac:dyDescent="0.2">
      <c r="B1" s="4"/>
      <c r="C1" s="13" t="s">
        <v>77</v>
      </c>
      <c r="D1" s="63" t="s">
        <v>36</v>
      </c>
      <c r="E1" s="63"/>
      <c r="F1" s="63"/>
      <c r="G1" s="63"/>
      <c r="H1" s="63"/>
      <c r="I1" s="63"/>
    </row>
    <row r="2" spans="2:14" x14ac:dyDescent="0.2">
      <c r="B2" s="4"/>
      <c r="C2" s="4"/>
      <c r="D2" s="4"/>
      <c r="E2" s="4"/>
      <c r="F2" s="4"/>
      <c r="G2" s="4"/>
      <c r="H2" s="4"/>
      <c r="I2" s="4"/>
    </row>
    <row r="3" spans="2:14" x14ac:dyDescent="0.2">
      <c r="B3" s="4"/>
      <c r="C3" s="4"/>
      <c r="D3" s="4"/>
      <c r="E3" s="4"/>
      <c r="F3" s="4"/>
      <c r="G3" s="4"/>
      <c r="H3" s="4"/>
      <c r="I3" s="4"/>
    </row>
    <row r="4" spans="2:14" ht="15" customHeight="1" x14ac:dyDescent="0.2">
      <c r="B4" s="64" t="s">
        <v>37</v>
      </c>
      <c r="C4" s="64"/>
      <c r="D4" s="14"/>
      <c r="E4" s="4"/>
      <c r="F4" s="4"/>
      <c r="G4" s="4"/>
      <c r="H4" s="4"/>
      <c r="I4" s="4"/>
    </row>
    <row r="5" spans="2:14" ht="15" customHeight="1" x14ac:dyDescent="0.2">
      <c r="B5" s="15"/>
      <c r="C5" s="15"/>
      <c r="D5" s="14"/>
      <c r="E5" s="4"/>
      <c r="F5" s="4"/>
      <c r="G5" s="4"/>
      <c r="H5" s="4"/>
      <c r="I5" s="4"/>
    </row>
    <row r="6" spans="2:14" ht="15" customHeight="1" x14ac:dyDescent="0.2">
      <c r="B6" s="41" t="s">
        <v>68</v>
      </c>
      <c r="C6" s="46"/>
      <c r="D6" s="18">
        <v>0.08</v>
      </c>
      <c r="E6" s="4"/>
      <c r="F6" s="4"/>
      <c r="G6" s="4"/>
      <c r="H6" s="4"/>
      <c r="I6" s="4"/>
    </row>
    <row r="7" spans="2:14" x14ac:dyDescent="0.2">
      <c r="B7" s="60" t="s">
        <v>31</v>
      </c>
      <c r="C7" s="60"/>
      <c r="D7" s="41">
        <v>20</v>
      </c>
    </row>
    <row r="8" spans="2:14" x14ac:dyDescent="0.2">
      <c r="B8" s="60" t="s">
        <v>39</v>
      </c>
      <c r="C8" s="60"/>
      <c r="D8" s="41">
        <f>D7*D9</f>
        <v>131.6</v>
      </c>
    </row>
    <row r="9" spans="2:14" x14ac:dyDescent="0.2">
      <c r="B9" s="41" t="s">
        <v>10</v>
      </c>
      <c r="C9" s="41"/>
      <c r="D9" s="14">
        <v>6.58</v>
      </c>
      <c r="E9" s="4">
        <f>D9</f>
        <v>6.58</v>
      </c>
      <c r="F9" s="4">
        <f t="shared" ref="F9:H9" si="0">E9</f>
        <v>6.58</v>
      </c>
      <c r="G9" s="4">
        <f t="shared" si="0"/>
        <v>6.58</v>
      </c>
      <c r="H9" s="4">
        <f t="shared" si="0"/>
        <v>6.58</v>
      </c>
      <c r="I9" s="5">
        <f>H9*1.2</f>
        <v>7.8959999999999999</v>
      </c>
      <c r="J9" s="5">
        <f t="shared" ref="J9:N9" si="1">I9</f>
        <v>7.8959999999999999</v>
      </c>
      <c r="K9" s="5">
        <f t="shared" si="1"/>
        <v>7.8959999999999999</v>
      </c>
      <c r="L9" s="5">
        <f t="shared" si="1"/>
        <v>7.8959999999999999</v>
      </c>
      <c r="M9" s="5">
        <f t="shared" si="1"/>
        <v>7.8959999999999999</v>
      </c>
      <c r="N9" s="5">
        <f t="shared" si="1"/>
        <v>7.8959999999999999</v>
      </c>
    </row>
    <row r="10" spans="2:14" x14ac:dyDescent="0.2">
      <c r="B10" s="41" t="s">
        <v>11</v>
      </c>
      <c r="C10" s="41"/>
      <c r="D10" s="20">
        <v>35</v>
      </c>
      <c r="E10" s="4" t="s">
        <v>83</v>
      </c>
    </row>
    <row r="11" spans="2:14" x14ac:dyDescent="0.2">
      <c r="B11" s="41" t="s">
        <v>12</v>
      </c>
      <c r="C11" s="41"/>
      <c r="D11" s="20">
        <v>4.5</v>
      </c>
      <c r="E11" s="4" t="s">
        <v>17</v>
      </c>
    </row>
    <row r="12" spans="2:14" x14ac:dyDescent="0.2">
      <c r="B12" s="21" t="s">
        <v>32</v>
      </c>
      <c r="C12" s="21"/>
      <c r="D12" s="22">
        <f>33%</f>
        <v>0.33</v>
      </c>
      <c r="E12" s="4" t="s">
        <v>34</v>
      </c>
      <c r="F12" s="4"/>
    </row>
    <row r="13" spans="2:14" x14ac:dyDescent="0.2">
      <c r="B13" s="21" t="s">
        <v>33</v>
      </c>
      <c r="C13" s="21"/>
      <c r="D13" s="70">
        <v>0.3</v>
      </c>
      <c r="E13" s="4" t="s">
        <v>35</v>
      </c>
      <c r="F13" s="4"/>
    </row>
    <row r="14" spans="2:14" x14ac:dyDescent="0.2">
      <c r="B14" s="21"/>
      <c r="C14" s="21"/>
      <c r="D14" s="23"/>
      <c r="E14" s="4"/>
      <c r="F14" s="4"/>
    </row>
    <row r="15" spans="2:14" x14ac:dyDescent="0.2">
      <c r="B15" s="46"/>
      <c r="C15" s="46"/>
      <c r="D15" s="41"/>
    </row>
    <row r="16" spans="2:14" x14ac:dyDescent="0.2">
      <c r="B16" s="46"/>
      <c r="C16" s="46"/>
      <c r="D16" s="24">
        <v>2020</v>
      </c>
      <c r="E16" s="2">
        <f>D16+1</f>
        <v>2021</v>
      </c>
      <c r="F16" s="2">
        <f t="shared" ref="F16:M16" si="2">E16+1</f>
        <v>2022</v>
      </c>
      <c r="G16" s="2">
        <f t="shared" si="2"/>
        <v>2023</v>
      </c>
      <c r="H16" s="2">
        <f t="shared" si="2"/>
        <v>2024</v>
      </c>
      <c r="I16" s="2">
        <f t="shared" si="2"/>
        <v>2025</v>
      </c>
      <c r="J16" s="2">
        <f t="shared" si="2"/>
        <v>2026</v>
      </c>
      <c r="K16" s="2">
        <f t="shared" si="2"/>
        <v>2027</v>
      </c>
      <c r="L16" s="2">
        <f t="shared" si="2"/>
        <v>2028</v>
      </c>
      <c r="M16" s="2">
        <f t="shared" si="2"/>
        <v>2029</v>
      </c>
      <c r="N16" s="2">
        <f>M16+1</f>
        <v>2030</v>
      </c>
    </row>
    <row r="17" spans="2:14" x14ac:dyDescent="0.2">
      <c r="B17" s="41" t="s">
        <v>80</v>
      </c>
      <c r="C17" s="21"/>
      <c r="D17" s="41">
        <v>50</v>
      </c>
      <c r="E17" s="48">
        <f>D17*(1+$D$6)</f>
        <v>54</v>
      </c>
      <c r="F17" s="48">
        <f t="shared" ref="F17:N17" si="3">E17*(1+$D$6)</f>
        <v>58.320000000000007</v>
      </c>
      <c r="G17" s="48">
        <f t="shared" si="3"/>
        <v>62.985600000000012</v>
      </c>
      <c r="H17" s="48">
        <f t="shared" si="3"/>
        <v>68.024448000000021</v>
      </c>
      <c r="I17" s="48">
        <f t="shared" si="3"/>
        <v>73.466403840000027</v>
      </c>
      <c r="J17" s="48">
        <f t="shared" si="3"/>
        <v>79.343716147200027</v>
      </c>
      <c r="K17" s="48">
        <f t="shared" si="3"/>
        <v>85.691213438976035</v>
      </c>
      <c r="L17" s="48">
        <f t="shared" si="3"/>
        <v>92.546510514094123</v>
      </c>
      <c r="M17" s="48">
        <f t="shared" si="3"/>
        <v>99.950231355221661</v>
      </c>
      <c r="N17" s="48">
        <f t="shared" si="3"/>
        <v>107.94624986363939</v>
      </c>
    </row>
    <row r="18" spans="2:14" x14ac:dyDescent="0.2">
      <c r="B18" s="46" t="s">
        <v>50</v>
      </c>
      <c r="C18" s="46"/>
      <c r="D18" s="25">
        <v>0.1</v>
      </c>
      <c r="E18" s="9">
        <v>0.12</v>
      </c>
      <c r="F18" s="9">
        <v>0.14000000000000001</v>
      </c>
      <c r="G18" s="9">
        <v>0.16</v>
      </c>
      <c r="H18" s="9">
        <v>0.18</v>
      </c>
      <c r="I18" s="9">
        <v>0.2</v>
      </c>
      <c r="J18" s="9">
        <v>0.2</v>
      </c>
      <c r="K18" s="9">
        <v>0.2</v>
      </c>
      <c r="L18" s="9">
        <v>0.2</v>
      </c>
      <c r="M18" s="9">
        <v>0.2</v>
      </c>
      <c r="N18" s="9">
        <v>0.2</v>
      </c>
    </row>
    <row r="19" spans="2:14" x14ac:dyDescent="0.2">
      <c r="B19" s="46"/>
      <c r="C19" s="46"/>
      <c r="D19" s="24"/>
      <c r="E19" s="2"/>
      <c r="F19" s="9"/>
      <c r="G19" s="9"/>
      <c r="H19" s="9"/>
    </row>
    <row r="20" spans="2:14" x14ac:dyDescent="0.2">
      <c r="B20" s="26" t="s">
        <v>81</v>
      </c>
      <c r="C20" s="26"/>
      <c r="D20" s="27">
        <f>D17*D18</f>
        <v>5</v>
      </c>
      <c r="E20" s="1">
        <f t="shared" ref="E20:N20" si="4">E17*E18</f>
        <v>6.4799999999999995</v>
      </c>
      <c r="F20" s="1">
        <f t="shared" si="4"/>
        <v>8.1648000000000014</v>
      </c>
      <c r="G20" s="1">
        <f t="shared" si="4"/>
        <v>10.077696000000001</v>
      </c>
      <c r="H20" s="1">
        <f t="shared" si="4"/>
        <v>12.244400640000004</v>
      </c>
      <c r="I20" s="1">
        <f t="shared" si="4"/>
        <v>14.693280768000006</v>
      </c>
      <c r="J20" s="1">
        <f t="shared" si="4"/>
        <v>15.868743229440007</v>
      </c>
      <c r="K20" s="1">
        <f t="shared" si="4"/>
        <v>17.138242687795209</v>
      </c>
      <c r="L20" s="1">
        <f t="shared" si="4"/>
        <v>18.509302102818825</v>
      </c>
      <c r="M20" s="1">
        <f t="shared" si="4"/>
        <v>19.990046271044335</v>
      </c>
      <c r="N20" s="1">
        <f t="shared" si="4"/>
        <v>21.589249972727881</v>
      </c>
    </row>
    <row r="21" spans="2:14" x14ac:dyDescent="0.2">
      <c r="B21" s="26" t="s">
        <v>82</v>
      </c>
      <c r="C21" s="26"/>
      <c r="D21" s="27">
        <v>5</v>
      </c>
      <c r="E21" s="1">
        <v>5.5</v>
      </c>
      <c r="F21" s="1">
        <v>6</v>
      </c>
      <c r="G21" s="1">
        <v>6.5</v>
      </c>
      <c r="H21" s="1">
        <v>7</v>
      </c>
      <c r="I21" s="1">
        <v>7.5</v>
      </c>
      <c r="J21" s="1">
        <v>8</v>
      </c>
      <c r="K21" s="1">
        <v>8</v>
      </c>
      <c r="L21" s="1">
        <v>8</v>
      </c>
      <c r="M21" s="1">
        <v>8</v>
      </c>
      <c r="N21" s="1">
        <v>8</v>
      </c>
    </row>
    <row r="22" spans="2:14" x14ac:dyDescent="0.2">
      <c r="B22" s="26" t="s">
        <v>0</v>
      </c>
      <c r="C22" s="26"/>
      <c r="D22" s="27">
        <f>D20+D21</f>
        <v>10</v>
      </c>
      <c r="E22" s="1">
        <f t="shared" ref="E22:N22" si="5">E20+E21</f>
        <v>11.98</v>
      </c>
      <c r="F22" s="1">
        <f t="shared" si="5"/>
        <v>14.164800000000001</v>
      </c>
      <c r="G22" s="1">
        <f t="shared" si="5"/>
        <v>16.577696000000003</v>
      </c>
      <c r="H22" s="1">
        <f t="shared" si="5"/>
        <v>19.244400640000002</v>
      </c>
      <c r="I22" s="1">
        <f t="shared" si="5"/>
        <v>22.193280768000008</v>
      </c>
      <c r="J22" s="1">
        <f t="shared" si="5"/>
        <v>23.868743229440007</v>
      </c>
      <c r="K22" s="1">
        <f t="shared" si="5"/>
        <v>25.138242687795209</v>
      </c>
      <c r="L22" s="1">
        <f t="shared" si="5"/>
        <v>26.509302102818825</v>
      </c>
      <c r="M22" s="1">
        <f t="shared" si="5"/>
        <v>27.990046271044335</v>
      </c>
      <c r="N22" s="1">
        <f t="shared" si="5"/>
        <v>29.589249972727881</v>
      </c>
    </row>
    <row r="23" spans="2:14" x14ac:dyDescent="0.2">
      <c r="B23" s="26" t="s">
        <v>1</v>
      </c>
      <c r="C23" s="26"/>
      <c r="D23" s="27">
        <f>D20*$D$10</f>
        <v>175</v>
      </c>
      <c r="E23" s="1">
        <f t="shared" ref="E23:N23" si="6">E20*$D$10</f>
        <v>226.79999999999998</v>
      </c>
      <c r="F23" s="1">
        <f t="shared" si="6"/>
        <v>285.76800000000003</v>
      </c>
      <c r="G23" s="1">
        <f t="shared" si="6"/>
        <v>352.71936000000005</v>
      </c>
      <c r="H23" s="1">
        <f t="shared" si="6"/>
        <v>428.55402240000012</v>
      </c>
      <c r="I23" s="1">
        <f t="shared" si="6"/>
        <v>514.26482688000021</v>
      </c>
      <c r="J23" s="1">
        <f t="shared" si="6"/>
        <v>555.40601303040023</v>
      </c>
      <c r="K23" s="1">
        <f t="shared" si="6"/>
        <v>599.8384940728323</v>
      </c>
      <c r="L23" s="1">
        <f t="shared" si="6"/>
        <v>647.82557359865893</v>
      </c>
      <c r="M23" s="1">
        <f t="shared" si="6"/>
        <v>699.65161948655168</v>
      </c>
      <c r="N23" s="1">
        <f t="shared" si="6"/>
        <v>755.62374904547585</v>
      </c>
    </row>
    <row r="24" spans="2:14" x14ac:dyDescent="0.2">
      <c r="B24" s="26" t="s">
        <v>20</v>
      </c>
      <c r="C24" s="26"/>
      <c r="D24" s="27">
        <f>D21*$D$11</f>
        <v>22.5</v>
      </c>
      <c r="E24" s="1">
        <f t="shared" ref="E24:N24" si="7">E21*$D$11</f>
        <v>24.75</v>
      </c>
      <c r="F24" s="1">
        <f t="shared" si="7"/>
        <v>27</v>
      </c>
      <c r="G24" s="1">
        <f t="shared" si="7"/>
        <v>29.25</v>
      </c>
      <c r="H24" s="1">
        <f t="shared" si="7"/>
        <v>31.5</v>
      </c>
      <c r="I24" s="1">
        <f t="shared" si="7"/>
        <v>33.75</v>
      </c>
      <c r="J24" s="1">
        <f t="shared" si="7"/>
        <v>36</v>
      </c>
      <c r="K24" s="1">
        <f t="shared" si="7"/>
        <v>36</v>
      </c>
      <c r="L24" s="1">
        <f t="shared" si="7"/>
        <v>36</v>
      </c>
      <c r="M24" s="1">
        <f t="shared" si="7"/>
        <v>36</v>
      </c>
      <c r="N24" s="1">
        <f t="shared" si="7"/>
        <v>36</v>
      </c>
    </row>
    <row r="25" spans="2:14" x14ac:dyDescent="0.2">
      <c r="B25" s="26" t="s">
        <v>2</v>
      </c>
      <c r="C25" s="26"/>
      <c r="D25" s="27">
        <f>D24*$D$9</f>
        <v>148.05000000000001</v>
      </c>
      <c r="E25" s="1">
        <f t="shared" ref="E25:N25" si="8">E24*$D$9</f>
        <v>162.85499999999999</v>
      </c>
      <c r="F25" s="1">
        <f t="shared" si="8"/>
        <v>177.66</v>
      </c>
      <c r="G25" s="1">
        <f t="shared" si="8"/>
        <v>192.465</v>
      </c>
      <c r="H25" s="1">
        <f t="shared" si="8"/>
        <v>207.27</v>
      </c>
      <c r="I25" s="1">
        <f t="shared" si="8"/>
        <v>222.07499999999999</v>
      </c>
      <c r="J25" s="1">
        <f t="shared" si="8"/>
        <v>236.88</v>
      </c>
      <c r="K25" s="1">
        <f t="shared" si="8"/>
        <v>236.88</v>
      </c>
      <c r="L25" s="1">
        <f t="shared" si="8"/>
        <v>236.88</v>
      </c>
      <c r="M25" s="1">
        <f t="shared" si="8"/>
        <v>236.88</v>
      </c>
      <c r="N25" s="1">
        <f t="shared" si="8"/>
        <v>236.88</v>
      </c>
    </row>
    <row r="26" spans="2:14" x14ac:dyDescent="0.2">
      <c r="B26" s="26" t="s">
        <v>3</v>
      </c>
      <c r="C26" s="26"/>
      <c r="D26" s="27">
        <f>D23+D25</f>
        <v>323.05</v>
      </c>
      <c r="E26" s="1">
        <f t="shared" ref="E26:N26" si="9">E23+E25</f>
        <v>389.65499999999997</v>
      </c>
      <c r="F26" s="1">
        <f t="shared" si="9"/>
        <v>463.428</v>
      </c>
      <c r="G26" s="1">
        <f t="shared" si="9"/>
        <v>545.18436000000008</v>
      </c>
      <c r="H26" s="1">
        <f t="shared" si="9"/>
        <v>635.8240224000001</v>
      </c>
      <c r="I26" s="1">
        <f t="shared" si="9"/>
        <v>736.33982688000015</v>
      </c>
      <c r="J26" s="1">
        <f t="shared" si="9"/>
        <v>792.28601303040023</v>
      </c>
      <c r="K26" s="1">
        <f t="shared" si="9"/>
        <v>836.7184940728323</v>
      </c>
      <c r="L26" s="1">
        <f t="shared" si="9"/>
        <v>884.70557359865893</v>
      </c>
      <c r="M26" s="1">
        <f t="shared" si="9"/>
        <v>936.53161948655168</v>
      </c>
      <c r="N26" s="1">
        <f t="shared" si="9"/>
        <v>992.50374904547584</v>
      </c>
    </row>
    <row r="27" spans="2:14" x14ac:dyDescent="0.2">
      <c r="B27" s="61"/>
      <c r="C27" s="61"/>
      <c r="D27" s="41"/>
    </row>
    <row r="28" spans="2:14" x14ac:dyDescent="0.2">
      <c r="B28" s="61"/>
      <c r="C28" s="61"/>
      <c r="D28" s="41"/>
    </row>
    <row r="29" spans="2:14" x14ac:dyDescent="0.2">
      <c r="B29" s="41" t="s">
        <v>15</v>
      </c>
      <c r="C29" s="41"/>
      <c r="D29" s="27">
        <f>D22</f>
        <v>10</v>
      </c>
      <c r="E29" s="1">
        <f>E22+D29</f>
        <v>21.98</v>
      </c>
      <c r="F29" s="1">
        <f t="shared" ref="F29:N29" si="10">F22+E29</f>
        <v>36.144800000000004</v>
      </c>
      <c r="G29" s="1">
        <f t="shared" si="10"/>
        <v>52.722496000000007</v>
      </c>
      <c r="H29" s="1">
        <f t="shared" si="10"/>
        <v>71.966896640000016</v>
      </c>
      <c r="I29" s="1">
        <f t="shared" si="10"/>
        <v>94.160177408000024</v>
      </c>
      <c r="J29" s="1">
        <f t="shared" si="10"/>
        <v>118.02892063744002</v>
      </c>
      <c r="K29" s="1">
        <f t="shared" si="10"/>
        <v>143.16716332523524</v>
      </c>
      <c r="L29" s="1">
        <f t="shared" si="10"/>
        <v>169.67646542805406</v>
      </c>
      <c r="M29" s="1">
        <f t="shared" si="10"/>
        <v>197.66651169909841</v>
      </c>
      <c r="N29" s="1">
        <f t="shared" si="10"/>
        <v>227.25576167182629</v>
      </c>
    </row>
    <row r="30" spans="2:14" x14ac:dyDescent="0.2">
      <c r="B30" s="41" t="s">
        <v>9</v>
      </c>
      <c r="C30" s="41"/>
      <c r="D30" s="49">
        <f t="shared" ref="D30:N30" si="11">25-((0.25*LOG10(D29)))</f>
        <v>24.75</v>
      </c>
      <c r="E30" s="48">
        <f t="shared" si="11"/>
        <v>24.664493077978133</v>
      </c>
      <c r="F30" s="48">
        <f t="shared" si="11"/>
        <v>24.61048854349794</v>
      </c>
      <c r="G30" s="48">
        <f t="shared" si="11"/>
        <v>24.569501009365617</v>
      </c>
      <c r="H30" s="48">
        <f t="shared" si="11"/>
        <v>24.535716806144098</v>
      </c>
      <c r="I30" s="48">
        <f t="shared" si="11"/>
        <v>24.506533182976472</v>
      </c>
      <c r="J30" s="48">
        <f t="shared" si="11"/>
        <v>24.482002891109211</v>
      </c>
      <c r="K30" s="48">
        <f t="shared" si="11"/>
        <v>24.4610391449867</v>
      </c>
      <c r="L30" s="48">
        <f t="shared" si="11"/>
        <v>24.442594597822957</v>
      </c>
      <c r="M30" s="48">
        <f t="shared" si="11"/>
        <v>24.426016725458901</v>
      </c>
      <c r="N30" s="48">
        <f t="shared" si="11"/>
        <v>24.410871274297609</v>
      </c>
    </row>
    <row r="31" spans="2:14" x14ac:dyDescent="0.2">
      <c r="B31" s="41" t="s">
        <v>5</v>
      </c>
      <c r="C31" s="41"/>
      <c r="D31" s="49">
        <f t="shared" ref="D31:N31" si="12">D30*D22</f>
        <v>247.5</v>
      </c>
      <c r="E31" s="48">
        <f t="shared" si="12"/>
        <v>295.48062707417802</v>
      </c>
      <c r="F31" s="48">
        <f t="shared" si="12"/>
        <v>348.60264812093965</v>
      </c>
      <c r="G31" s="48">
        <f t="shared" si="12"/>
        <v>407.30571860495644</v>
      </c>
      <c r="H31" s="48">
        <f t="shared" si="12"/>
        <v>472.17516420701827</v>
      </c>
      <c r="I31" s="48">
        <f t="shared" si="12"/>
        <v>543.88037158010582</v>
      </c>
      <c r="J31" s="48">
        <f t="shared" si="12"/>
        <v>584.3546407502937</v>
      </c>
      <c r="K31" s="48">
        <f t="shared" si="12"/>
        <v>614.90753842233426</v>
      </c>
      <c r="L31" s="48">
        <f t="shared" si="12"/>
        <v>647.95612437041621</v>
      </c>
      <c r="M31" s="48">
        <f t="shared" si="12"/>
        <v>683.68533836289748</v>
      </c>
      <c r="N31" s="48">
        <f t="shared" si="12"/>
        <v>722.29937218727434</v>
      </c>
    </row>
    <row r="32" spans="2:14" x14ac:dyDescent="0.2">
      <c r="B32" s="41" t="s">
        <v>4</v>
      </c>
      <c r="C32" s="41"/>
      <c r="D32" s="41">
        <v>12</v>
      </c>
      <c r="E32" s="40">
        <v>12</v>
      </c>
      <c r="F32" s="40">
        <v>12</v>
      </c>
      <c r="G32" s="40">
        <v>12</v>
      </c>
      <c r="H32" s="40">
        <v>12</v>
      </c>
      <c r="I32" s="40">
        <v>16</v>
      </c>
      <c r="J32" s="40">
        <v>16</v>
      </c>
      <c r="K32" s="40">
        <v>16</v>
      </c>
      <c r="L32" s="40">
        <v>16</v>
      </c>
      <c r="M32" s="40">
        <v>16</v>
      </c>
      <c r="N32" s="40">
        <v>16</v>
      </c>
    </row>
    <row r="33" spans="2:14" x14ac:dyDescent="0.2">
      <c r="B33" s="41" t="s">
        <v>6</v>
      </c>
      <c r="C33" s="41"/>
      <c r="D33" s="49">
        <f>D31+D32</f>
        <v>259.5</v>
      </c>
      <c r="E33" s="48">
        <f t="shared" ref="E33:N33" si="13">E31+E32</f>
        <v>307.48062707417802</v>
      </c>
      <c r="F33" s="48">
        <f t="shared" si="13"/>
        <v>360.60264812093965</v>
      </c>
      <c r="G33" s="48">
        <f t="shared" si="13"/>
        <v>419.30571860495644</v>
      </c>
      <c r="H33" s="48">
        <f t="shared" si="13"/>
        <v>484.17516420701827</v>
      </c>
      <c r="I33" s="48">
        <f t="shared" si="13"/>
        <v>559.88037158010582</v>
      </c>
      <c r="J33" s="48">
        <f t="shared" si="13"/>
        <v>600.3546407502937</v>
      </c>
      <c r="K33" s="48">
        <f t="shared" si="13"/>
        <v>630.90753842233426</v>
      </c>
      <c r="L33" s="48">
        <f t="shared" si="13"/>
        <v>663.95612437041621</v>
      </c>
      <c r="M33" s="48">
        <f t="shared" si="13"/>
        <v>699.68533836289748</v>
      </c>
      <c r="N33" s="48">
        <f t="shared" si="13"/>
        <v>738.29937218727434</v>
      </c>
    </row>
    <row r="34" spans="2:14" x14ac:dyDescent="0.2">
      <c r="B34" s="41"/>
      <c r="C34" s="41"/>
      <c r="D34" s="41"/>
    </row>
    <row r="35" spans="2:14" x14ac:dyDescent="0.2">
      <c r="B35" s="26" t="s">
        <v>7</v>
      </c>
      <c r="C35" s="41"/>
      <c r="D35" s="27">
        <f t="shared" ref="D35:N35" si="14">D26-D33</f>
        <v>63.550000000000011</v>
      </c>
      <c r="E35" s="1">
        <f t="shared" si="14"/>
        <v>82.174372925821956</v>
      </c>
      <c r="F35" s="1">
        <f t="shared" si="14"/>
        <v>102.82535187906035</v>
      </c>
      <c r="G35" s="1">
        <f t="shared" si="14"/>
        <v>125.87864139504364</v>
      </c>
      <c r="H35" s="1">
        <f t="shared" si="14"/>
        <v>151.64885819298183</v>
      </c>
      <c r="I35" s="1">
        <f t="shared" si="14"/>
        <v>176.45945529989433</v>
      </c>
      <c r="J35" s="1">
        <f t="shared" si="14"/>
        <v>191.93137228010653</v>
      </c>
      <c r="K35" s="1">
        <f t="shared" si="14"/>
        <v>205.81095565049804</v>
      </c>
      <c r="L35" s="1">
        <f t="shared" si="14"/>
        <v>220.74944922824272</v>
      </c>
      <c r="M35" s="1">
        <f t="shared" si="14"/>
        <v>236.84628112365419</v>
      </c>
      <c r="N35" s="1">
        <f t="shared" si="14"/>
        <v>254.2043768582015</v>
      </c>
    </row>
    <row r="36" spans="2:14" x14ac:dyDescent="0.2">
      <c r="B36" s="26" t="s">
        <v>18</v>
      </c>
      <c r="C36" s="41"/>
      <c r="D36" s="27">
        <f>25%*$D$8</f>
        <v>32.9</v>
      </c>
      <c r="E36" s="1">
        <f t="shared" ref="E36:G36" si="15">25%*$D$8</f>
        <v>32.9</v>
      </c>
      <c r="F36" s="1">
        <f t="shared" si="15"/>
        <v>32.9</v>
      </c>
      <c r="G36" s="1">
        <f t="shared" si="15"/>
        <v>32.9</v>
      </c>
      <c r="H36" s="1"/>
      <c r="I36" s="1"/>
      <c r="J36" s="1"/>
      <c r="K36" s="1"/>
      <c r="L36" s="1"/>
      <c r="M36" s="1"/>
      <c r="N36" s="1"/>
    </row>
    <row r="37" spans="2:14" x14ac:dyDescent="0.2">
      <c r="B37" s="26" t="s">
        <v>8</v>
      </c>
      <c r="C37" s="41"/>
      <c r="D37" s="27">
        <f>D35-D36</f>
        <v>30.650000000000013</v>
      </c>
      <c r="E37" s="1">
        <f t="shared" ref="E37:N37" si="16">E35-E36</f>
        <v>49.274372925821957</v>
      </c>
      <c r="F37" s="1">
        <f t="shared" si="16"/>
        <v>69.925351879060344</v>
      </c>
      <c r="G37" s="1">
        <f t="shared" si="16"/>
        <v>92.978641395043638</v>
      </c>
      <c r="H37" s="1">
        <f t="shared" si="16"/>
        <v>151.64885819298183</v>
      </c>
      <c r="I37" s="1">
        <f t="shared" si="16"/>
        <v>176.45945529989433</v>
      </c>
      <c r="J37" s="1">
        <f t="shared" si="16"/>
        <v>191.93137228010653</v>
      </c>
      <c r="K37" s="1">
        <f t="shared" si="16"/>
        <v>205.81095565049804</v>
      </c>
      <c r="L37" s="1">
        <f t="shared" si="16"/>
        <v>220.74944922824272</v>
      </c>
      <c r="M37" s="1">
        <f t="shared" si="16"/>
        <v>236.84628112365419</v>
      </c>
      <c r="N37" s="1">
        <f t="shared" si="16"/>
        <v>254.2043768582015</v>
      </c>
    </row>
    <row r="38" spans="2:14" x14ac:dyDescent="0.2">
      <c r="B38" s="41"/>
      <c r="C38" s="41"/>
      <c r="D38" s="41"/>
    </row>
    <row r="39" spans="2:14" x14ac:dyDescent="0.2">
      <c r="B39" s="26" t="s">
        <v>19</v>
      </c>
      <c r="C39" s="41"/>
      <c r="D39" s="41"/>
    </row>
    <row r="40" spans="2:14" x14ac:dyDescent="0.2">
      <c r="B40" s="26" t="s">
        <v>21</v>
      </c>
      <c r="C40" s="41"/>
      <c r="D40" s="49">
        <f>D37*30%</f>
        <v>9.1950000000000038</v>
      </c>
      <c r="E40" s="48">
        <f t="shared" ref="E40:N40" si="17">E37*30%</f>
        <v>14.782311877746587</v>
      </c>
      <c r="F40" s="48">
        <f t="shared" si="17"/>
        <v>20.977605563718104</v>
      </c>
      <c r="G40" s="48">
        <f t="shared" si="17"/>
        <v>27.893592418513091</v>
      </c>
      <c r="H40" s="48">
        <f t="shared" si="17"/>
        <v>45.494657457894547</v>
      </c>
      <c r="I40" s="48">
        <f t="shared" si="17"/>
        <v>52.937836589968299</v>
      </c>
      <c r="J40" s="48">
        <f t="shared" si="17"/>
        <v>57.57941168403196</v>
      </c>
      <c r="K40" s="48">
        <f t="shared" si="17"/>
        <v>61.743286695149408</v>
      </c>
      <c r="L40" s="48">
        <f t="shared" si="17"/>
        <v>66.224834768472817</v>
      </c>
      <c r="M40" s="48">
        <f t="shared" si="17"/>
        <v>71.05388433709625</v>
      </c>
      <c r="N40" s="48">
        <f t="shared" si="17"/>
        <v>76.261313057460441</v>
      </c>
    </row>
    <row r="41" spans="2:14" x14ac:dyDescent="0.2">
      <c r="B41" s="62" t="s">
        <v>46</v>
      </c>
      <c r="C41" s="62"/>
      <c r="D41" s="49">
        <f>D37-D40</f>
        <v>21.455000000000009</v>
      </c>
      <c r="E41" s="48">
        <f t="shared" ref="E41:N41" si="18">E37-E40</f>
        <v>34.492061048075371</v>
      </c>
      <c r="F41" s="48">
        <f t="shared" si="18"/>
        <v>48.947746315342243</v>
      </c>
      <c r="G41" s="48">
        <f t="shared" si="18"/>
        <v>65.085048976530544</v>
      </c>
      <c r="H41" s="48">
        <f t="shared" si="18"/>
        <v>106.15420073508729</v>
      </c>
      <c r="I41" s="48">
        <f t="shared" si="18"/>
        <v>123.52161870992603</v>
      </c>
      <c r="J41" s="48">
        <f t="shared" si="18"/>
        <v>134.35196059607458</v>
      </c>
      <c r="K41" s="48">
        <f t="shared" si="18"/>
        <v>144.06766895534864</v>
      </c>
      <c r="L41" s="48">
        <f t="shared" si="18"/>
        <v>154.52461445976991</v>
      </c>
      <c r="M41" s="48">
        <f t="shared" si="18"/>
        <v>165.79239678655796</v>
      </c>
      <c r="N41" s="48">
        <f t="shared" si="18"/>
        <v>177.94306380074107</v>
      </c>
    </row>
    <row r="42" spans="2:14" x14ac:dyDescent="0.2">
      <c r="B42" s="41"/>
      <c r="C42" s="41"/>
      <c r="D42" s="41"/>
    </row>
    <row r="43" spans="2:14" ht="18" x14ac:dyDescent="0.2">
      <c r="B43" s="34" t="s">
        <v>44</v>
      </c>
      <c r="C43" s="50"/>
      <c r="D43" s="41"/>
    </row>
    <row r="44" spans="2:14" x14ac:dyDescent="0.2">
      <c r="B44" s="62" t="s">
        <v>45</v>
      </c>
      <c r="C44" s="62"/>
      <c r="D44" s="49">
        <f>D37-D40</f>
        <v>21.455000000000009</v>
      </c>
      <c r="E44" s="48">
        <f t="shared" ref="E44:N44" si="19">E37-E40</f>
        <v>34.492061048075371</v>
      </c>
      <c r="F44" s="48">
        <f t="shared" si="19"/>
        <v>48.947746315342243</v>
      </c>
      <c r="G44" s="48">
        <f t="shared" si="19"/>
        <v>65.085048976530544</v>
      </c>
      <c r="H44" s="48">
        <f t="shared" si="19"/>
        <v>106.15420073508729</v>
      </c>
      <c r="I44" s="48">
        <f t="shared" si="19"/>
        <v>123.52161870992603</v>
      </c>
      <c r="J44" s="48">
        <f t="shared" si="19"/>
        <v>134.35196059607458</v>
      </c>
      <c r="K44" s="48">
        <f t="shared" si="19"/>
        <v>144.06766895534864</v>
      </c>
      <c r="L44" s="48">
        <f t="shared" si="19"/>
        <v>154.52461445976991</v>
      </c>
      <c r="M44" s="48">
        <f t="shared" si="19"/>
        <v>165.79239678655796</v>
      </c>
      <c r="N44" s="48">
        <f t="shared" si="19"/>
        <v>177.94306380074107</v>
      </c>
    </row>
    <row r="45" spans="2:14" x14ac:dyDescent="0.2">
      <c r="B45" s="62" t="s">
        <v>38</v>
      </c>
      <c r="C45" s="62"/>
      <c r="D45" s="49">
        <f>-33%*D31</f>
        <v>-81.674999999999997</v>
      </c>
      <c r="E45" s="48">
        <f>-33%*(E31-D31)</f>
        <v>-15.833606934478746</v>
      </c>
      <c r="F45" s="48">
        <f t="shared" ref="F45:N45" si="20">-33%*(F31-E31)</f>
        <v>-17.53026694543134</v>
      </c>
      <c r="G45" s="48">
        <f t="shared" si="20"/>
        <v>-19.372013259725541</v>
      </c>
      <c r="H45" s="48">
        <f t="shared" si="20"/>
        <v>-21.406917048680405</v>
      </c>
      <c r="I45" s="48">
        <f t="shared" si="20"/>
        <v>-23.66271843311889</v>
      </c>
      <c r="J45" s="48">
        <f t="shared" si="20"/>
        <v>-13.356508826162001</v>
      </c>
      <c r="K45" s="48">
        <f t="shared" si="20"/>
        <v>-10.082456231773385</v>
      </c>
      <c r="L45" s="48">
        <f t="shared" si="20"/>
        <v>-10.906033362867044</v>
      </c>
      <c r="M45" s="48">
        <f t="shared" si="20"/>
        <v>-11.790640617518822</v>
      </c>
      <c r="N45" s="48">
        <f t="shared" si="20"/>
        <v>-12.742631162044365</v>
      </c>
    </row>
    <row r="46" spans="2:14" x14ac:dyDescent="0.2">
      <c r="B46" s="62" t="s">
        <v>23</v>
      </c>
      <c r="C46" s="62"/>
      <c r="D46" s="49">
        <f>D44+D45</f>
        <v>-60.219999999999985</v>
      </c>
      <c r="E46" s="48">
        <f t="shared" ref="E46:N46" si="21">E44+E45</f>
        <v>18.658454113596626</v>
      </c>
      <c r="F46" s="48">
        <f t="shared" si="21"/>
        <v>31.417479369910904</v>
      </c>
      <c r="G46" s="48">
        <f t="shared" si="21"/>
        <v>45.713035716805003</v>
      </c>
      <c r="H46" s="48">
        <f t="shared" si="21"/>
        <v>84.747283686406888</v>
      </c>
      <c r="I46" s="48">
        <f t="shared" si="21"/>
        <v>99.858900276807134</v>
      </c>
      <c r="J46" s="48">
        <f t="shared" si="21"/>
        <v>120.99545176991258</v>
      </c>
      <c r="K46" s="48">
        <f t="shared" si="21"/>
        <v>133.98521272357524</v>
      </c>
      <c r="L46" s="48">
        <f t="shared" si="21"/>
        <v>143.61858109690286</v>
      </c>
      <c r="M46" s="48">
        <f t="shared" si="21"/>
        <v>154.00175616903914</v>
      </c>
      <c r="N46" s="48">
        <f t="shared" si="21"/>
        <v>165.2004326386967</v>
      </c>
    </row>
    <row r="47" spans="2:14" x14ac:dyDescent="0.2">
      <c r="B47" s="26" t="s">
        <v>40</v>
      </c>
      <c r="C47" s="41"/>
      <c r="D47" s="41"/>
      <c r="E47" s="48">
        <f>-80%*E44</f>
        <v>-27.593648838460297</v>
      </c>
      <c r="F47" s="48">
        <f t="shared" ref="F47:N47" si="22">-80%*F44</f>
        <v>-39.158197052273799</v>
      </c>
      <c r="G47" s="48">
        <f t="shared" si="22"/>
        <v>-52.068039181224435</v>
      </c>
      <c r="H47" s="48">
        <f t="shared" si="22"/>
        <v>-84.923360588069841</v>
      </c>
      <c r="I47" s="48">
        <f t="shared" si="22"/>
        <v>-98.817294967940825</v>
      </c>
      <c r="J47" s="48">
        <f t="shared" si="22"/>
        <v>-107.48156847685966</v>
      </c>
      <c r="K47" s="48">
        <f t="shared" si="22"/>
        <v>-115.25413516427892</v>
      </c>
      <c r="L47" s="48">
        <f t="shared" si="22"/>
        <v>-123.61969156781593</v>
      </c>
      <c r="M47" s="48">
        <f t="shared" si="22"/>
        <v>-132.63391742924637</v>
      </c>
      <c r="N47" s="48">
        <f t="shared" si="22"/>
        <v>-142.35445104059286</v>
      </c>
    </row>
    <row r="48" spans="2:14" x14ac:dyDescent="0.2">
      <c r="B48" s="62" t="s">
        <v>22</v>
      </c>
      <c r="C48" s="62"/>
      <c r="D48" s="49">
        <f>D46+D47</f>
        <v>-60.219999999999985</v>
      </c>
      <c r="E48" s="48">
        <f t="shared" ref="E48:N48" si="23">E46+E47</f>
        <v>-8.9351947248636705</v>
      </c>
      <c r="F48" s="48">
        <f t="shared" si="23"/>
        <v>-7.7407176823628951</v>
      </c>
      <c r="G48" s="48">
        <f t="shared" si="23"/>
        <v>-6.3550034644194326</v>
      </c>
      <c r="H48" s="48">
        <f t="shared" si="23"/>
        <v>-0.17607690166295242</v>
      </c>
      <c r="I48" s="48">
        <f t="shared" si="23"/>
        <v>1.0416053088663091</v>
      </c>
      <c r="J48" s="48">
        <f t="shared" si="23"/>
        <v>13.513883293052913</v>
      </c>
      <c r="K48" s="48">
        <f t="shared" si="23"/>
        <v>18.731077559296324</v>
      </c>
      <c r="L48" s="48">
        <f t="shared" si="23"/>
        <v>19.998889529086924</v>
      </c>
      <c r="M48" s="48">
        <f t="shared" si="23"/>
        <v>21.367838739792774</v>
      </c>
      <c r="N48" s="48">
        <f t="shared" si="23"/>
        <v>22.845981598103833</v>
      </c>
    </row>
    <row r="49" spans="2:14" x14ac:dyDescent="0.2">
      <c r="B49" s="62" t="s">
        <v>42</v>
      </c>
      <c r="C49" s="62"/>
      <c r="D49" s="49">
        <f>D48</f>
        <v>-60.219999999999985</v>
      </c>
      <c r="E49" s="48">
        <f>E48+D49</f>
        <v>-69.155194724863662</v>
      </c>
      <c r="F49" s="48">
        <f t="shared" ref="F49:N49" si="24">F48+E49</f>
        <v>-76.895912407226561</v>
      </c>
      <c r="G49" s="48">
        <f t="shared" si="24"/>
        <v>-83.250915871645986</v>
      </c>
      <c r="H49" s="48">
        <f t="shared" si="24"/>
        <v>-83.426992773308939</v>
      </c>
      <c r="I49" s="48">
        <f t="shared" si="24"/>
        <v>-82.38538746444263</v>
      </c>
      <c r="J49" s="48">
        <f t="shared" si="24"/>
        <v>-68.871504171389716</v>
      </c>
      <c r="K49" s="48">
        <f t="shared" si="24"/>
        <v>-50.140426612093393</v>
      </c>
      <c r="L49" s="48">
        <f t="shared" si="24"/>
        <v>-30.141537083006469</v>
      </c>
      <c r="M49" s="48">
        <f t="shared" si="24"/>
        <v>-8.7736983432136952</v>
      </c>
      <c r="N49" s="48">
        <f t="shared" si="24"/>
        <v>14.072283254890138</v>
      </c>
    </row>
    <row r="50" spans="2:14" ht="18" x14ac:dyDescent="0.2">
      <c r="B50" s="59" t="s">
        <v>41</v>
      </c>
      <c r="C50" s="59"/>
      <c r="D50" s="51">
        <f>NPV(0.15,D48:N48)</f>
        <v>-40.400960112962004</v>
      </c>
    </row>
    <row r="51" spans="2:14" ht="18" x14ac:dyDescent="0.2">
      <c r="B51" s="59" t="s">
        <v>24</v>
      </c>
      <c r="C51" s="59"/>
      <c r="D51" s="52" t="s">
        <v>51</v>
      </c>
    </row>
    <row r="52" spans="2:14" x14ac:dyDescent="0.2">
      <c r="B52" s="26"/>
      <c r="C52" s="41"/>
      <c r="D52" s="53"/>
    </row>
    <row r="53" spans="2:14" ht="18" x14ac:dyDescent="0.2">
      <c r="B53" s="34" t="s">
        <v>43</v>
      </c>
      <c r="C53" s="41"/>
      <c r="D53" s="41"/>
    </row>
    <row r="54" spans="2:14" x14ac:dyDescent="0.2">
      <c r="B54" s="62" t="s">
        <v>26</v>
      </c>
      <c r="C54" s="62"/>
      <c r="D54" s="41">
        <v>-20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2:14" x14ac:dyDescent="0.2">
      <c r="B55" s="62" t="s">
        <v>69</v>
      </c>
      <c r="C55" s="62"/>
      <c r="D55" s="41"/>
      <c r="E55" s="48">
        <f>-E47/$D$9</f>
        <v>4.1935636532614433</v>
      </c>
      <c r="F55" s="48">
        <f t="shared" ref="F55:N55" si="25">-F47/$D$9</f>
        <v>5.951093776941307</v>
      </c>
      <c r="G55" s="48">
        <f t="shared" si="25"/>
        <v>7.9130758634079692</v>
      </c>
      <c r="H55" s="48">
        <f t="shared" si="25"/>
        <v>12.906285803658029</v>
      </c>
      <c r="I55" s="48">
        <f t="shared" si="25"/>
        <v>15.017825982969731</v>
      </c>
      <c r="J55" s="48">
        <f t="shared" si="25"/>
        <v>16.334584874902685</v>
      </c>
      <c r="K55" s="48">
        <f t="shared" si="25"/>
        <v>17.515826012808347</v>
      </c>
      <c r="L55" s="48">
        <f t="shared" si="25"/>
        <v>18.787187168361083</v>
      </c>
      <c r="M55" s="48">
        <f t="shared" si="25"/>
        <v>20.157130308396106</v>
      </c>
      <c r="N55" s="48">
        <f t="shared" si="25"/>
        <v>21.634415051761835</v>
      </c>
    </row>
    <row r="56" spans="2:14" x14ac:dyDescent="0.2">
      <c r="B56" s="62" t="s">
        <v>27</v>
      </c>
      <c r="C56" s="62"/>
      <c r="D56" s="41">
        <f>D54+D55</f>
        <v>-20</v>
      </c>
      <c r="E56" s="48">
        <f t="shared" ref="E56:N56" si="26">E54+E55</f>
        <v>4.1935636532614433</v>
      </c>
      <c r="F56" s="48">
        <f t="shared" si="26"/>
        <v>5.951093776941307</v>
      </c>
      <c r="G56" s="48">
        <f t="shared" si="26"/>
        <v>7.9130758634079692</v>
      </c>
      <c r="H56" s="48">
        <f t="shared" si="26"/>
        <v>12.906285803658029</v>
      </c>
      <c r="I56" s="48">
        <f t="shared" si="26"/>
        <v>15.017825982969731</v>
      </c>
      <c r="J56" s="48">
        <f t="shared" si="26"/>
        <v>16.334584874902685</v>
      </c>
      <c r="K56" s="48">
        <f t="shared" si="26"/>
        <v>17.515826012808347</v>
      </c>
      <c r="L56" s="48">
        <f t="shared" si="26"/>
        <v>18.787187168361083</v>
      </c>
      <c r="M56" s="48">
        <f t="shared" si="26"/>
        <v>20.157130308396106</v>
      </c>
      <c r="N56" s="48">
        <f t="shared" si="26"/>
        <v>21.634415051761835</v>
      </c>
    </row>
    <row r="57" spans="2:14" x14ac:dyDescent="0.2">
      <c r="B57" s="29" t="s">
        <v>28</v>
      </c>
      <c r="C57" s="47"/>
      <c r="D57" s="41">
        <v>-20</v>
      </c>
      <c r="E57" s="48">
        <f>E56+D56</f>
        <v>-15.806436346738558</v>
      </c>
      <c r="F57" s="48">
        <f t="shared" ref="F57:N57" si="27">F56+E56</f>
        <v>10.14465743020275</v>
      </c>
      <c r="G57" s="48">
        <f t="shared" si="27"/>
        <v>13.864169640349276</v>
      </c>
      <c r="H57" s="48">
        <f t="shared" si="27"/>
        <v>20.819361667065998</v>
      </c>
      <c r="I57" s="48">
        <f t="shared" si="27"/>
        <v>27.924111786627762</v>
      </c>
      <c r="J57" s="48">
        <f t="shared" si="27"/>
        <v>31.352410857872414</v>
      </c>
      <c r="K57" s="48">
        <f t="shared" si="27"/>
        <v>33.850410887711035</v>
      </c>
      <c r="L57" s="48">
        <f t="shared" si="27"/>
        <v>36.303013181169433</v>
      </c>
      <c r="M57" s="48">
        <f t="shared" si="27"/>
        <v>38.944317476757192</v>
      </c>
      <c r="N57" s="48">
        <f t="shared" si="27"/>
        <v>41.79154536015794</v>
      </c>
    </row>
    <row r="58" spans="2:14" ht="18" x14ac:dyDescent="0.2">
      <c r="B58" s="59" t="s">
        <v>29</v>
      </c>
      <c r="C58" s="59"/>
      <c r="D58" s="51">
        <f>NPV(0.15,D56:N56)</f>
        <v>33.966151906762335</v>
      </c>
    </row>
    <row r="59" spans="2:14" ht="18" x14ac:dyDescent="0.2">
      <c r="B59" s="59" t="s">
        <v>30</v>
      </c>
      <c r="C59" s="59"/>
      <c r="D59" s="54">
        <f>IRR(D56:N56)</f>
        <v>0.42958102821272282</v>
      </c>
    </row>
  </sheetData>
  <mergeCells count="18">
    <mergeCell ref="D1:I1"/>
    <mergeCell ref="B4:C4"/>
    <mergeCell ref="B8:C8"/>
    <mergeCell ref="B50:C50"/>
    <mergeCell ref="B58:C58"/>
    <mergeCell ref="B59:C59"/>
    <mergeCell ref="B7:C7"/>
    <mergeCell ref="B27:C28"/>
    <mergeCell ref="B44:C44"/>
    <mergeCell ref="B45:C45"/>
    <mergeCell ref="B46:C46"/>
    <mergeCell ref="B48:C48"/>
    <mergeCell ref="B51:C51"/>
    <mergeCell ref="B49:C49"/>
    <mergeCell ref="B54:C54"/>
    <mergeCell ref="B55:C55"/>
    <mergeCell ref="B56:C56"/>
    <mergeCell ref="B41:C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D0BD-2A6F-984F-B8E5-49E63B3BA3A2}">
  <dimension ref="B1:N59"/>
  <sheetViews>
    <sheetView topLeftCell="A9" workbookViewId="0">
      <selection activeCell="C34" sqref="C34"/>
    </sheetView>
  </sheetViews>
  <sheetFormatPr baseColWidth="10" defaultRowHeight="16" x14ac:dyDescent="0.2"/>
  <cols>
    <col min="3" max="3" width="38" customWidth="1"/>
    <col min="4" max="4" width="16.83203125" bestFit="1" customWidth="1"/>
  </cols>
  <sheetData>
    <row r="1" spans="2:14" ht="20" x14ac:dyDescent="0.2">
      <c r="C1" s="36" t="s">
        <v>77</v>
      </c>
      <c r="D1" s="68" t="s">
        <v>47</v>
      </c>
      <c r="E1" s="68"/>
      <c r="F1" s="68"/>
      <c r="G1" s="68"/>
      <c r="H1" s="68"/>
      <c r="I1" s="68"/>
    </row>
    <row r="2" spans="2:14" x14ac:dyDescent="0.2">
      <c r="B2" s="4"/>
      <c r="C2" s="4"/>
      <c r="D2" s="4"/>
      <c r="E2" s="4"/>
      <c r="F2" s="4"/>
      <c r="G2" s="4"/>
      <c r="H2" s="4"/>
      <c r="I2" s="4"/>
    </row>
    <row r="3" spans="2:14" x14ac:dyDescent="0.2">
      <c r="B3" s="4"/>
      <c r="C3" s="4"/>
      <c r="D3" s="4"/>
      <c r="E3" s="4"/>
      <c r="F3" s="4"/>
      <c r="G3" s="4"/>
      <c r="H3" s="4"/>
      <c r="I3" s="4"/>
    </row>
    <row r="4" spans="2:14" ht="20" x14ac:dyDescent="0.2">
      <c r="B4" s="65" t="s">
        <v>48</v>
      </c>
      <c r="C4" s="65"/>
      <c r="D4" s="14"/>
      <c r="E4" s="4"/>
      <c r="F4" s="4"/>
      <c r="G4" s="4"/>
      <c r="H4" s="4"/>
      <c r="I4" s="4"/>
    </row>
    <row r="5" spans="2:14" x14ac:dyDescent="0.2">
      <c r="B5" s="16"/>
      <c r="C5" s="16"/>
      <c r="D5" s="16"/>
    </row>
    <row r="6" spans="2:14" x14ac:dyDescent="0.2">
      <c r="B6" s="66" t="s">
        <v>31</v>
      </c>
      <c r="C6" s="66"/>
      <c r="D6" s="16">
        <v>70</v>
      </c>
      <c r="E6" t="s">
        <v>52</v>
      </c>
      <c r="I6">
        <v>10</v>
      </c>
    </row>
    <row r="7" spans="2:14" x14ac:dyDescent="0.2">
      <c r="B7" s="66" t="s">
        <v>39</v>
      </c>
      <c r="C7" s="66"/>
      <c r="D7" s="16">
        <f>D6*D8</f>
        <v>460.6</v>
      </c>
      <c r="I7">
        <f>I6*I8</f>
        <v>78.959999999999994</v>
      </c>
    </row>
    <row r="8" spans="2:14" x14ac:dyDescent="0.2">
      <c r="B8" s="16" t="s">
        <v>10</v>
      </c>
      <c r="C8" s="16"/>
      <c r="D8" s="14">
        <v>6.58</v>
      </c>
      <c r="E8" s="4">
        <f>D8</f>
        <v>6.58</v>
      </c>
      <c r="F8" s="4">
        <f t="shared" ref="F8:H8" si="0">E8</f>
        <v>6.58</v>
      </c>
      <c r="G8" s="4">
        <f t="shared" si="0"/>
        <v>6.58</v>
      </c>
      <c r="H8" s="4">
        <f t="shared" si="0"/>
        <v>6.58</v>
      </c>
      <c r="I8" s="5">
        <f>H8*1.2</f>
        <v>7.8959999999999999</v>
      </c>
      <c r="J8" s="5">
        <f t="shared" ref="J8:N8" si="1">I8</f>
        <v>7.8959999999999999</v>
      </c>
      <c r="K8" s="5">
        <f t="shared" si="1"/>
        <v>7.8959999999999999</v>
      </c>
      <c r="L8" s="5">
        <f t="shared" si="1"/>
        <v>7.8959999999999999</v>
      </c>
      <c r="M8" s="5">
        <f t="shared" si="1"/>
        <v>7.8959999999999999</v>
      </c>
      <c r="N8" s="5">
        <f t="shared" si="1"/>
        <v>7.8959999999999999</v>
      </c>
    </row>
    <row r="9" spans="2:14" x14ac:dyDescent="0.2">
      <c r="B9" s="16" t="s">
        <v>11</v>
      </c>
      <c r="C9" s="16"/>
      <c r="D9" s="20">
        <v>35</v>
      </c>
      <c r="E9" s="4" t="s">
        <v>16</v>
      </c>
    </row>
    <row r="10" spans="2:14" x14ac:dyDescent="0.2">
      <c r="B10" s="16" t="s">
        <v>12</v>
      </c>
      <c r="C10" s="16"/>
      <c r="D10" s="20">
        <v>4.5</v>
      </c>
      <c r="E10" s="4" t="s">
        <v>17</v>
      </c>
    </row>
    <row r="11" spans="2:14" x14ac:dyDescent="0.2">
      <c r="B11" s="21" t="s">
        <v>32</v>
      </c>
      <c r="C11" s="21"/>
      <c r="D11" s="22">
        <f>33%</f>
        <v>0.33</v>
      </c>
      <c r="E11" s="4" t="s">
        <v>34</v>
      </c>
      <c r="F11" s="4"/>
    </row>
    <row r="12" spans="2:14" x14ac:dyDescent="0.2">
      <c r="B12" s="21" t="s">
        <v>33</v>
      </c>
      <c r="C12" s="21"/>
      <c r="D12" s="23">
        <v>0.3</v>
      </c>
      <c r="E12" s="4" t="s">
        <v>35</v>
      </c>
      <c r="F12" s="4"/>
    </row>
    <row r="13" spans="2:14" x14ac:dyDescent="0.2">
      <c r="B13" s="67"/>
      <c r="C13" s="67"/>
      <c r="D13" s="16"/>
    </row>
    <row r="14" spans="2:14" x14ac:dyDescent="0.2">
      <c r="B14" s="67"/>
      <c r="C14" s="67"/>
      <c r="D14" s="24">
        <v>2020</v>
      </c>
      <c r="E14" s="24">
        <f>D14+1</f>
        <v>2021</v>
      </c>
      <c r="F14" s="24">
        <f t="shared" ref="F14:M14" si="2">E14+1</f>
        <v>2022</v>
      </c>
      <c r="G14" s="24">
        <f t="shared" si="2"/>
        <v>2023</v>
      </c>
      <c r="H14" s="24">
        <f t="shared" si="2"/>
        <v>2024</v>
      </c>
      <c r="I14" s="24">
        <f t="shared" si="2"/>
        <v>2025</v>
      </c>
      <c r="J14" s="24">
        <f t="shared" si="2"/>
        <v>2026</v>
      </c>
      <c r="K14" s="24">
        <f t="shared" si="2"/>
        <v>2027</v>
      </c>
      <c r="L14" s="24">
        <f t="shared" si="2"/>
        <v>2028</v>
      </c>
      <c r="M14" s="24">
        <f t="shared" si="2"/>
        <v>2029</v>
      </c>
      <c r="N14" s="24">
        <f>M14+1</f>
        <v>2030</v>
      </c>
    </row>
    <row r="15" spans="2:14" x14ac:dyDescent="0.2">
      <c r="B15" s="16" t="s">
        <v>49</v>
      </c>
      <c r="C15" s="21"/>
      <c r="D15" s="16">
        <v>50</v>
      </c>
      <c r="E15">
        <f>D15*1.08</f>
        <v>54</v>
      </c>
      <c r="F15" s="7">
        <f t="shared" ref="F15:N15" si="3">E15*1.08</f>
        <v>58.320000000000007</v>
      </c>
      <c r="G15" s="7">
        <f t="shared" si="3"/>
        <v>62.985600000000012</v>
      </c>
      <c r="H15" s="7">
        <f t="shared" si="3"/>
        <v>68.024448000000021</v>
      </c>
      <c r="I15" s="7">
        <f t="shared" si="3"/>
        <v>73.466403840000027</v>
      </c>
      <c r="J15" s="7">
        <f t="shared" si="3"/>
        <v>79.343716147200027</v>
      </c>
      <c r="K15" s="7">
        <f t="shared" si="3"/>
        <v>85.691213438976035</v>
      </c>
      <c r="L15" s="7">
        <f t="shared" si="3"/>
        <v>92.546510514094123</v>
      </c>
      <c r="M15" s="7">
        <f t="shared" si="3"/>
        <v>99.950231355221661</v>
      </c>
      <c r="N15" s="7">
        <f t="shared" si="3"/>
        <v>107.94624986363939</v>
      </c>
    </row>
    <row r="16" spans="2:14" x14ac:dyDescent="0.2">
      <c r="B16" s="66" t="s">
        <v>50</v>
      </c>
      <c r="C16" s="66"/>
      <c r="D16" s="25">
        <v>0.3</v>
      </c>
      <c r="E16" s="8">
        <v>0.3</v>
      </c>
      <c r="F16" s="8">
        <v>0.3</v>
      </c>
      <c r="G16" s="8">
        <v>0.3</v>
      </c>
      <c r="H16" s="8">
        <v>0.3</v>
      </c>
      <c r="I16" s="8">
        <v>0.3</v>
      </c>
      <c r="J16" s="8">
        <v>0.3</v>
      </c>
      <c r="K16" s="8">
        <v>0.3</v>
      </c>
      <c r="L16" s="8">
        <v>0.3</v>
      </c>
      <c r="M16" s="8">
        <v>0.3</v>
      </c>
      <c r="N16" s="8">
        <v>0.3</v>
      </c>
    </row>
    <row r="17" spans="2:14" x14ac:dyDescent="0.2">
      <c r="B17" s="17"/>
      <c r="C17" s="17"/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">
      <c r="B18" s="26" t="s">
        <v>13</v>
      </c>
      <c r="C18" s="26"/>
      <c r="D18" s="27">
        <f>D15*D16</f>
        <v>15</v>
      </c>
      <c r="E18" s="1">
        <f t="shared" ref="E18:N18" si="4">E15*E16</f>
        <v>16.2</v>
      </c>
      <c r="F18" s="1">
        <f t="shared" si="4"/>
        <v>17.496000000000002</v>
      </c>
      <c r="G18" s="1">
        <f t="shared" si="4"/>
        <v>18.895680000000002</v>
      </c>
      <c r="H18" s="1">
        <f t="shared" si="4"/>
        <v>20.407334400000007</v>
      </c>
      <c r="I18" s="1">
        <f t="shared" si="4"/>
        <v>22.039921152000009</v>
      </c>
      <c r="J18" s="1">
        <f t="shared" si="4"/>
        <v>23.803114844160007</v>
      </c>
      <c r="K18" s="1">
        <f t="shared" si="4"/>
        <v>25.707364031692808</v>
      </c>
      <c r="L18" s="1">
        <f t="shared" si="4"/>
        <v>27.763953154228236</v>
      </c>
      <c r="M18" s="1">
        <f t="shared" si="4"/>
        <v>29.985069406566495</v>
      </c>
      <c r="N18" s="1">
        <f t="shared" si="4"/>
        <v>32.38387495909182</v>
      </c>
    </row>
    <row r="19" spans="2:14" x14ac:dyDescent="0.2">
      <c r="B19" s="26" t="s">
        <v>14</v>
      </c>
      <c r="C19" s="26"/>
      <c r="D19" s="27">
        <v>5</v>
      </c>
      <c r="E19" s="1">
        <v>5.5</v>
      </c>
      <c r="F19" s="1">
        <v>6</v>
      </c>
      <c r="G19" s="1">
        <v>6.5</v>
      </c>
      <c r="H19" s="1">
        <v>7</v>
      </c>
      <c r="I19" s="1">
        <v>7.5</v>
      </c>
      <c r="J19" s="1">
        <v>8</v>
      </c>
      <c r="K19" s="1">
        <v>8</v>
      </c>
      <c r="L19" s="1">
        <v>8</v>
      </c>
      <c r="M19" s="1">
        <v>8</v>
      </c>
      <c r="N19" s="1">
        <v>8</v>
      </c>
    </row>
    <row r="20" spans="2:14" x14ac:dyDescent="0.2">
      <c r="B20" s="26" t="s">
        <v>0</v>
      </c>
      <c r="C20" s="26"/>
      <c r="D20" s="27">
        <v>11</v>
      </c>
      <c r="E20" s="1">
        <v>13.276000000000002</v>
      </c>
      <c r="F20" s="1">
        <v>15.797760000000004</v>
      </c>
      <c r="G20" s="1">
        <v>18.593235200000002</v>
      </c>
      <c r="H20" s="1">
        <v>21.693280768000005</v>
      </c>
      <c r="I20" s="1">
        <v>25.131936921600005</v>
      </c>
      <c r="J20" s="1">
        <v>27.042491875328007</v>
      </c>
      <c r="K20" s="1">
        <v>28.56589122535425</v>
      </c>
      <c r="L20" s="1">
        <v>30.211162523382594</v>
      </c>
      <c r="M20" s="1">
        <v>31.988055525253202</v>
      </c>
      <c r="N20" s="1">
        <v>33.907099967273467</v>
      </c>
    </row>
    <row r="21" spans="2:14" x14ac:dyDescent="0.2">
      <c r="B21" s="26" t="s">
        <v>1</v>
      </c>
      <c r="C21" s="26"/>
      <c r="D21" s="27">
        <f>D18*$D$9</f>
        <v>525</v>
      </c>
      <c r="E21" s="1">
        <f t="shared" ref="E21:N21" si="5">E18*$D$9</f>
        <v>567</v>
      </c>
      <c r="F21" s="1">
        <f t="shared" si="5"/>
        <v>612.36000000000013</v>
      </c>
      <c r="G21" s="1">
        <f t="shared" si="5"/>
        <v>661.3488000000001</v>
      </c>
      <c r="H21" s="1">
        <f t="shared" si="5"/>
        <v>714.25670400000024</v>
      </c>
      <c r="I21" s="1">
        <f>I18*$D$9</f>
        <v>771.39724032000026</v>
      </c>
      <c r="J21" s="1">
        <f t="shared" si="5"/>
        <v>833.10901954560018</v>
      </c>
      <c r="K21" s="1">
        <f t="shared" si="5"/>
        <v>899.75774110924829</v>
      </c>
      <c r="L21" s="1">
        <f t="shared" si="5"/>
        <v>971.73836039798823</v>
      </c>
      <c r="M21" s="1">
        <f t="shared" si="5"/>
        <v>1049.4774292298273</v>
      </c>
      <c r="N21" s="1">
        <f t="shared" si="5"/>
        <v>1133.4356235682137</v>
      </c>
    </row>
    <row r="22" spans="2:14" x14ac:dyDescent="0.2">
      <c r="B22" s="26" t="s">
        <v>20</v>
      </c>
      <c r="C22" s="26"/>
      <c r="D22" s="27">
        <f>D19*$D$10</f>
        <v>22.5</v>
      </c>
      <c r="E22" s="1">
        <f t="shared" ref="E22:N22" si="6">E19*$D$10</f>
        <v>24.75</v>
      </c>
      <c r="F22" s="1">
        <f t="shared" si="6"/>
        <v>27</v>
      </c>
      <c r="G22" s="1">
        <f t="shared" si="6"/>
        <v>29.25</v>
      </c>
      <c r="H22" s="1">
        <f t="shared" si="6"/>
        <v>31.5</v>
      </c>
      <c r="I22" s="1">
        <f t="shared" si="6"/>
        <v>33.75</v>
      </c>
      <c r="J22" s="1">
        <f t="shared" si="6"/>
        <v>36</v>
      </c>
      <c r="K22" s="1">
        <f t="shared" si="6"/>
        <v>36</v>
      </c>
      <c r="L22" s="1">
        <f t="shared" si="6"/>
        <v>36</v>
      </c>
      <c r="M22" s="1">
        <f t="shared" si="6"/>
        <v>36</v>
      </c>
      <c r="N22" s="1">
        <f t="shared" si="6"/>
        <v>36</v>
      </c>
    </row>
    <row r="23" spans="2:14" x14ac:dyDescent="0.2">
      <c r="B23" s="26" t="s">
        <v>2</v>
      </c>
      <c r="C23" s="26"/>
      <c r="D23" s="27">
        <f>D22*$D$8</f>
        <v>148.05000000000001</v>
      </c>
      <c r="E23" s="1">
        <f t="shared" ref="E23:N23" si="7">E22*$D$8</f>
        <v>162.85499999999999</v>
      </c>
      <c r="F23" s="1">
        <f t="shared" si="7"/>
        <v>177.66</v>
      </c>
      <c r="G23" s="1">
        <f t="shared" si="7"/>
        <v>192.465</v>
      </c>
      <c r="H23" s="1">
        <f t="shared" si="7"/>
        <v>207.27</v>
      </c>
      <c r="I23" s="1">
        <f>I22*$D$8</f>
        <v>222.07499999999999</v>
      </c>
      <c r="J23" s="1">
        <f t="shared" si="7"/>
        <v>236.88</v>
      </c>
      <c r="K23" s="1">
        <f t="shared" si="7"/>
        <v>236.88</v>
      </c>
      <c r="L23" s="1">
        <f t="shared" si="7"/>
        <v>236.88</v>
      </c>
      <c r="M23" s="1">
        <f t="shared" si="7"/>
        <v>236.88</v>
      </c>
      <c r="N23" s="1">
        <f t="shared" si="7"/>
        <v>236.88</v>
      </c>
    </row>
    <row r="24" spans="2:14" x14ac:dyDescent="0.2">
      <c r="B24" s="26" t="s">
        <v>3</v>
      </c>
      <c r="C24" s="26"/>
      <c r="D24" s="27">
        <f>D21+D23</f>
        <v>673.05</v>
      </c>
      <c r="E24" s="1">
        <f t="shared" ref="E24:N24" si="8">E21+E23</f>
        <v>729.85500000000002</v>
      </c>
      <c r="F24" s="1">
        <f t="shared" si="8"/>
        <v>790.0200000000001</v>
      </c>
      <c r="G24" s="1">
        <f t="shared" si="8"/>
        <v>853.81380000000013</v>
      </c>
      <c r="H24" s="1">
        <f t="shared" si="8"/>
        <v>921.52670400000022</v>
      </c>
      <c r="I24" s="1">
        <f>I21+I23</f>
        <v>993.47224032000031</v>
      </c>
      <c r="J24" s="1">
        <f t="shared" si="8"/>
        <v>1069.9890195456001</v>
      </c>
      <c r="K24" s="1">
        <f t="shared" si="8"/>
        <v>1136.6377411092483</v>
      </c>
      <c r="L24" s="1">
        <f t="shared" si="8"/>
        <v>1208.6183603979882</v>
      </c>
      <c r="M24" s="1">
        <f t="shared" si="8"/>
        <v>1286.3574292298272</v>
      </c>
      <c r="N24" s="1">
        <f t="shared" si="8"/>
        <v>1370.3156235682136</v>
      </c>
    </row>
    <row r="25" spans="2:14" x14ac:dyDescent="0.2">
      <c r="B25" s="67"/>
      <c r="C25" s="67"/>
      <c r="D25" s="16"/>
    </row>
    <row r="26" spans="2:14" x14ac:dyDescent="0.2">
      <c r="B26" s="67"/>
      <c r="C26" s="67"/>
      <c r="D26" s="16"/>
    </row>
    <row r="27" spans="2:14" x14ac:dyDescent="0.2">
      <c r="B27" s="16" t="s">
        <v>15</v>
      </c>
      <c r="C27" s="16"/>
      <c r="D27" s="27">
        <v>11</v>
      </c>
      <c r="E27" s="1">
        <v>24.276000000000003</v>
      </c>
      <c r="F27" s="1">
        <v>40.073760000000007</v>
      </c>
      <c r="G27" s="1">
        <v>58.666995200000009</v>
      </c>
      <c r="H27" s="1">
        <v>80.36027596800001</v>
      </c>
      <c r="I27" s="1">
        <v>105.49221288960001</v>
      </c>
      <c r="J27" s="1">
        <v>132.53470476492802</v>
      </c>
      <c r="K27" s="1">
        <v>161.10059599028227</v>
      </c>
      <c r="L27" s="1">
        <v>191.31175851366487</v>
      </c>
      <c r="M27" s="1">
        <v>223.29981403891807</v>
      </c>
      <c r="N27" s="1">
        <v>257.20691400619154</v>
      </c>
    </row>
    <row r="28" spans="2:14" x14ac:dyDescent="0.2">
      <c r="B28" s="16"/>
      <c r="C28" s="16"/>
      <c r="D28" s="16"/>
    </row>
    <row r="29" spans="2:14" x14ac:dyDescent="0.2">
      <c r="B29" s="16" t="s">
        <v>9</v>
      </c>
      <c r="C29" s="16"/>
      <c r="D29" s="28">
        <f>25-((0.25*LOG10(D27)))</f>
        <v>24.739651828710443</v>
      </c>
      <c r="E29" s="3">
        <f t="shared" ref="E29:N29" si="9">25-((0.25*LOG10(E27)))</f>
        <v>24.653705717795393</v>
      </c>
      <c r="F29" s="3">
        <f t="shared" si="9"/>
        <v>24.599284976778634</v>
      </c>
      <c r="G29" s="3">
        <f t="shared" si="9"/>
        <v>24.557901538715807</v>
      </c>
      <c r="H29" s="3">
        <f t="shared" si="9"/>
        <v>24.523739645123886</v>
      </c>
      <c r="I29" s="3">
        <f t="shared" si="9"/>
        <v>24.494194899366203</v>
      </c>
      <c r="J29" s="3">
        <f t="shared" si="9"/>
        <v>24.469417596253706</v>
      </c>
      <c r="K29" s="3">
        <f t="shared" si="9"/>
        <v>24.44822571322727</v>
      </c>
      <c r="L29" s="3">
        <f t="shared" si="9"/>
        <v>24.429564584073596</v>
      </c>
      <c r="M29" s="3">
        <f t="shared" si="9"/>
        <v>24.412777909650753</v>
      </c>
      <c r="N29" s="3">
        <f t="shared" si="9"/>
        <v>24.39742934031878</v>
      </c>
    </row>
    <row r="30" spans="2:14" x14ac:dyDescent="0.2">
      <c r="B30" s="16" t="s">
        <v>5</v>
      </c>
      <c r="C30" s="16"/>
      <c r="D30" s="28">
        <f>D29*D20</f>
        <v>272.13617011581488</v>
      </c>
      <c r="E30" s="3">
        <f t="shared" ref="E30:N30" si="10">E29*E20</f>
        <v>327.30259710945165</v>
      </c>
      <c r="F30" s="3">
        <f t="shared" si="10"/>
        <v>388.61360023475453</v>
      </c>
      <c r="G30" s="3">
        <f t="shared" si="10"/>
        <v>456.61083932778496</v>
      </c>
      <c r="H30" s="3">
        <f t="shared" si="10"/>
        <v>532.0003696030052</v>
      </c>
      <c r="I30" s="3">
        <f t="shared" si="10"/>
        <v>615.58656115624797</v>
      </c>
      <c r="J30" s="3">
        <f t="shared" si="10"/>
        <v>661.71402654069902</v>
      </c>
      <c r="K30" s="3">
        <f t="shared" si="10"/>
        <v>698.38535637695907</v>
      </c>
      <c r="L30" s="3">
        <f t="shared" si="10"/>
        <v>738.04554602491885</v>
      </c>
      <c r="M30" s="3">
        <f t="shared" si="10"/>
        <v>780.91729529958309</v>
      </c>
      <c r="N30" s="3">
        <f t="shared" si="10"/>
        <v>827.24607558667958</v>
      </c>
    </row>
    <row r="31" spans="2:14" x14ac:dyDescent="0.2">
      <c r="B31" s="16" t="s">
        <v>4</v>
      </c>
      <c r="C31" s="16"/>
      <c r="D31" s="16">
        <v>12</v>
      </c>
      <c r="E31">
        <v>12</v>
      </c>
      <c r="F31">
        <v>12</v>
      </c>
      <c r="G31">
        <v>12</v>
      </c>
      <c r="H31">
        <v>12</v>
      </c>
      <c r="I31">
        <v>16</v>
      </c>
      <c r="J31">
        <v>16</v>
      </c>
      <c r="K31">
        <v>16</v>
      </c>
      <c r="L31">
        <v>16</v>
      </c>
      <c r="M31">
        <v>16</v>
      </c>
      <c r="N31">
        <v>16</v>
      </c>
    </row>
    <row r="32" spans="2:14" x14ac:dyDescent="0.2">
      <c r="B32" s="16" t="s">
        <v>6</v>
      </c>
      <c r="C32" s="16"/>
      <c r="D32" s="28">
        <f>D30+D31</f>
        <v>284.13617011581488</v>
      </c>
      <c r="E32" s="3">
        <f t="shared" ref="E32:N32" si="11">E30+E31</f>
        <v>339.30259710945165</v>
      </c>
      <c r="F32" s="3">
        <f t="shared" si="11"/>
        <v>400.61360023475453</v>
      </c>
      <c r="G32" s="3">
        <f t="shared" si="11"/>
        <v>468.61083932778496</v>
      </c>
      <c r="H32" s="3">
        <f t="shared" si="11"/>
        <v>544.0003696030052</v>
      </c>
      <c r="I32" s="3">
        <f t="shared" si="11"/>
        <v>631.58656115624797</v>
      </c>
      <c r="J32" s="3">
        <f t="shared" si="11"/>
        <v>677.71402654069902</v>
      </c>
      <c r="K32" s="3">
        <f t="shared" si="11"/>
        <v>714.38535637695907</v>
      </c>
      <c r="L32" s="3">
        <f t="shared" si="11"/>
        <v>754.04554602491885</v>
      </c>
      <c r="M32" s="3">
        <f t="shared" si="11"/>
        <v>796.91729529958309</v>
      </c>
      <c r="N32" s="3">
        <f t="shared" si="11"/>
        <v>843.24607558667958</v>
      </c>
    </row>
    <row r="33" spans="2:14" x14ac:dyDescent="0.2">
      <c r="B33" s="16"/>
      <c r="C33" s="16"/>
      <c r="D33" s="16"/>
    </row>
    <row r="34" spans="2:14" x14ac:dyDescent="0.2">
      <c r="B34" s="26" t="s">
        <v>7</v>
      </c>
      <c r="C34" s="16"/>
      <c r="D34" s="27">
        <f>D24-D32</f>
        <v>388.91382988418508</v>
      </c>
      <c r="E34" s="1">
        <f t="shared" ref="E34:N34" si="12">E24-E32</f>
        <v>390.55240289054836</v>
      </c>
      <c r="F34" s="1">
        <f t="shared" si="12"/>
        <v>389.40639976524557</v>
      </c>
      <c r="G34" s="1">
        <f t="shared" si="12"/>
        <v>385.20296067221517</v>
      </c>
      <c r="H34" s="1">
        <f t="shared" si="12"/>
        <v>377.52633439699503</v>
      </c>
      <c r="I34" s="1">
        <f t="shared" si="12"/>
        <v>361.88567916375234</v>
      </c>
      <c r="J34" s="1">
        <f t="shared" si="12"/>
        <v>392.27499300490103</v>
      </c>
      <c r="K34" s="1">
        <f t="shared" si="12"/>
        <v>422.25238473228922</v>
      </c>
      <c r="L34" s="1">
        <f t="shared" si="12"/>
        <v>454.57281437306938</v>
      </c>
      <c r="M34" s="1">
        <f t="shared" si="12"/>
        <v>489.44013393024409</v>
      </c>
      <c r="N34" s="1">
        <f t="shared" si="12"/>
        <v>527.06954798153401</v>
      </c>
    </row>
    <row r="35" spans="2:14" x14ac:dyDescent="0.2">
      <c r="B35" s="26" t="s">
        <v>18</v>
      </c>
      <c r="C35" s="16"/>
      <c r="D35" s="27">
        <f>25%*$D$7</f>
        <v>115.15</v>
      </c>
      <c r="E35" s="1">
        <f t="shared" ref="E35:G35" si="13">25%*$D$7</f>
        <v>115.15</v>
      </c>
      <c r="F35" s="1">
        <f t="shared" si="13"/>
        <v>115.15</v>
      </c>
      <c r="G35" s="1">
        <f t="shared" si="13"/>
        <v>115.15</v>
      </c>
      <c r="H35" s="1"/>
      <c r="I35" s="1"/>
      <c r="J35" s="1"/>
      <c r="K35" s="1"/>
      <c r="L35" s="1"/>
      <c r="M35" s="1"/>
      <c r="N35" s="1"/>
    </row>
    <row r="36" spans="2:14" x14ac:dyDescent="0.2">
      <c r="B36" s="26" t="s">
        <v>8</v>
      </c>
      <c r="C36" s="16"/>
      <c r="D36" s="27">
        <f>D34-D35</f>
        <v>273.76382988418504</v>
      </c>
      <c r="E36" s="1">
        <f t="shared" ref="E36:N36" si="14">E34-E35</f>
        <v>275.40240289054839</v>
      </c>
      <c r="F36" s="1">
        <f t="shared" si="14"/>
        <v>274.25639976524553</v>
      </c>
      <c r="G36" s="1">
        <f t="shared" si="14"/>
        <v>270.05296067221514</v>
      </c>
      <c r="H36" s="1">
        <f t="shared" si="14"/>
        <v>377.52633439699503</v>
      </c>
      <c r="I36" s="1">
        <f t="shared" si="14"/>
        <v>361.88567916375234</v>
      </c>
      <c r="J36" s="1">
        <f t="shared" si="14"/>
        <v>392.27499300490103</v>
      </c>
      <c r="K36" s="1">
        <f t="shared" si="14"/>
        <v>422.25238473228922</v>
      </c>
      <c r="L36" s="1">
        <f t="shared" si="14"/>
        <v>454.57281437306938</v>
      </c>
      <c r="M36" s="1">
        <f t="shared" si="14"/>
        <v>489.44013393024409</v>
      </c>
      <c r="N36" s="1">
        <f t="shared" si="14"/>
        <v>527.06954798153401</v>
      </c>
    </row>
    <row r="37" spans="2:14" x14ac:dyDescent="0.2">
      <c r="B37" s="16"/>
      <c r="C37" s="16"/>
      <c r="D37" s="16"/>
    </row>
    <row r="38" spans="2:14" x14ac:dyDescent="0.2">
      <c r="B38" s="26"/>
      <c r="C38" s="16"/>
      <c r="D38" s="16"/>
    </row>
    <row r="39" spans="2:14" x14ac:dyDescent="0.2">
      <c r="B39" s="26" t="s">
        <v>21</v>
      </c>
      <c r="C39" s="16"/>
      <c r="D39" s="28">
        <f>D36*30%</f>
        <v>82.12914896525551</v>
      </c>
      <c r="E39" s="3">
        <f t="shared" ref="E39:N39" si="15">E36*30%</f>
        <v>82.620720867164508</v>
      </c>
      <c r="F39" s="3">
        <f t="shared" si="15"/>
        <v>82.276919929573651</v>
      </c>
      <c r="G39" s="3">
        <f t="shared" si="15"/>
        <v>81.015888201664538</v>
      </c>
      <c r="H39" s="3">
        <f t="shared" si="15"/>
        <v>113.25790031909851</v>
      </c>
      <c r="I39" s="3">
        <f t="shared" si="15"/>
        <v>108.5657037491257</v>
      </c>
      <c r="J39" s="3">
        <f t="shared" si="15"/>
        <v>117.6824979014703</v>
      </c>
      <c r="K39" s="3">
        <f t="shared" si="15"/>
        <v>126.67571541968675</v>
      </c>
      <c r="L39" s="3">
        <f t="shared" si="15"/>
        <v>136.3718443119208</v>
      </c>
      <c r="M39" s="3">
        <f t="shared" si="15"/>
        <v>146.83204017907323</v>
      </c>
      <c r="N39" s="3">
        <f t="shared" si="15"/>
        <v>158.1208643944602</v>
      </c>
    </row>
    <row r="40" spans="2:14" x14ac:dyDescent="0.2">
      <c r="B40" s="62" t="s">
        <v>46</v>
      </c>
      <c r="C40" s="62"/>
      <c r="D40" s="28">
        <f>D36-D39</f>
        <v>191.63468091892952</v>
      </c>
      <c r="E40" s="3">
        <f t="shared" ref="E40:N40" si="16">E36-E39</f>
        <v>192.78168202338389</v>
      </c>
      <c r="F40" s="3">
        <f t="shared" si="16"/>
        <v>191.9794798356719</v>
      </c>
      <c r="G40" s="3">
        <f t="shared" si="16"/>
        <v>189.03707247055058</v>
      </c>
      <c r="H40" s="3">
        <f t="shared" si="16"/>
        <v>264.26843407789653</v>
      </c>
      <c r="I40" s="3">
        <f t="shared" si="16"/>
        <v>253.31997541462664</v>
      </c>
      <c r="J40" s="3">
        <f t="shared" si="16"/>
        <v>274.59249510343074</v>
      </c>
      <c r="K40" s="3">
        <f t="shared" si="16"/>
        <v>295.57666931260246</v>
      </c>
      <c r="L40" s="3">
        <f t="shared" si="16"/>
        <v>318.20097006114861</v>
      </c>
      <c r="M40" s="3">
        <f t="shared" si="16"/>
        <v>342.60809375117083</v>
      </c>
      <c r="N40" s="3">
        <f t="shared" si="16"/>
        <v>368.94868358707379</v>
      </c>
    </row>
    <row r="41" spans="2:14" x14ac:dyDescent="0.2">
      <c r="B41" s="16"/>
      <c r="C41" s="16"/>
      <c r="D41" s="16"/>
    </row>
    <row r="42" spans="2:14" ht="21" x14ac:dyDescent="0.25">
      <c r="B42" s="39" t="s">
        <v>44</v>
      </c>
      <c r="C42" s="35"/>
      <c r="D42" s="16"/>
    </row>
    <row r="43" spans="2:14" x14ac:dyDescent="0.2">
      <c r="B43" s="62" t="s">
        <v>45</v>
      </c>
      <c r="C43" s="62"/>
      <c r="D43" s="28">
        <f>D36-D39</f>
        <v>191.63468091892952</v>
      </c>
      <c r="E43" s="3">
        <f t="shared" ref="E43:N43" si="17">E36-E39</f>
        <v>192.78168202338389</v>
      </c>
      <c r="F43" s="3">
        <f t="shared" si="17"/>
        <v>191.9794798356719</v>
      </c>
      <c r="G43" s="3">
        <f t="shared" si="17"/>
        <v>189.03707247055058</v>
      </c>
      <c r="H43" s="3">
        <f t="shared" si="17"/>
        <v>264.26843407789653</v>
      </c>
      <c r="I43" s="3">
        <f t="shared" si="17"/>
        <v>253.31997541462664</v>
      </c>
      <c r="J43" s="3">
        <f t="shared" si="17"/>
        <v>274.59249510343074</v>
      </c>
      <c r="K43" s="3">
        <f t="shared" si="17"/>
        <v>295.57666931260246</v>
      </c>
      <c r="L43" s="3">
        <f t="shared" si="17"/>
        <v>318.20097006114861</v>
      </c>
      <c r="M43" s="3">
        <f t="shared" si="17"/>
        <v>342.60809375117083</v>
      </c>
      <c r="N43" s="3">
        <f t="shared" si="17"/>
        <v>368.94868358707379</v>
      </c>
    </row>
    <row r="44" spans="2:14" x14ac:dyDescent="0.2">
      <c r="B44" s="62" t="s">
        <v>38</v>
      </c>
      <c r="C44" s="62"/>
      <c r="D44" s="28">
        <f>-33%*D30</f>
        <v>-89.80493613821892</v>
      </c>
      <c r="E44" s="3">
        <f>-33%*(E30-D30)</f>
        <v>-18.204920907900139</v>
      </c>
      <c r="F44" s="3">
        <f t="shared" ref="F44:N44" si="18">-33%*(F30-E30)</f>
        <v>-20.23263103134995</v>
      </c>
      <c r="G44" s="3">
        <f t="shared" si="18"/>
        <v>-22.439088900700042</v>
      </c>
      <c r="H44" s="3">
        <f t="shared" si="18"/>
        <v>-24.878544990822679</v>
      </c>
      <c r="I44" s="3">
        <f t="shared" si="18"/>
        <v>-27.583443212570117</v>
      </c>
      <c r="J44" s="3">
        <f t="shared" si="18"/>
        <v>-15.22206357686885</v>
      </c>
      <c r="K44" s="3">
        <f t="shared" si="18"/>
        <v>-12.101538845965814</v>
      </c>
      <c r="L44" s="3">
        <f t="shared" si="18"/>
        <v>-13.087862583826729</v>
      </c>
      <c r="M44" s="3">
        <f t="shared" si="18"/>
        <v>-14.147677260639199</v>
      </c>
      <c r="N44" s="3">
        <f t="shared" si="18"/>
        <v>-15.288497494741843</v>
      </c>
    </row>
    <row r="45" spans="2:14" x14ac:dyDescent="0.2">
      <c r="B45" s="62" t="s">
        <v>55</v>
      </c>
      <c r="C45" s="62"/>
      <c r="D45" s="28">
        <f>D43+D44</f>
        <v>101.8297447807106</v>
      </c>
      <c r="E45" s="3">
        <f t="shared" ref="E45:N45" si="19">E43+E44</f>
        <v>174.57676111548375</v>
      </c>
      <c r="F45" s="3">
        <f t="shared" si="19"/>
        <v>171.74684880432196</v>
      </c>
      <c r="G45" s="3">
        <f t="shared" si="19"/>
        <v>166.59798356985056</v>
      </c>
      <c r="H45" s="3">
        <f t="shared" si="19"/>
        <v>239.38988908707384</v>
      </c>
      <c r="I45" s="3">
        <f t="shared" si="19"/>
        <v>225.73653220205654</v>
      </c>
      <c r="J45" s="3">
        <f t="shared" si="19"/>
        <v>259.3704315265619</v>
      </c>
      <c r="K45" s="3">
        <f t="shared" si="19"/>
        <v>283.47513046663664</v>
      </c>
      <c r="L45" s="3">
        <f t="shared" si="19"/>
        <v>305.11310747732188</v>
      </c>
      <c r="M45" s="3">
        <f t="shared" si="19"/>
        <v>328.46041649053166</v>
      </c>
      <c r="N45" s="3">
        <f t="shared" si="19"/>
        <v>353.66018609233197</v>
      </c>
    </row>
    <row r="46" spans="2:14" x14ac:dyDescent="0.2">
      <c r="B46" s="26" t="s">
        <v>54</v>
      </c>
      <c r="C46" s="16"/>
      <c r="D46" s="16"/>
      <c r="E46" s="3">
        <f>-90%*E43</f>
        <v>-173.50351382104552</v>
      </c>
      <c r="F46" s="3">
        <f>-90%*F43</f>
        <v>-172.78153185210471</v>
      </c>
      <c r="G46" s="3">
        <f t="shared" ref="G46:N46" si="20">-90%*G43</f>
        <v>-170.13336522349553</v>
      </c>
      <c r="H46" s="3">
        <f t="shared" si="20"/>
        <v>-237.84159067010688</v>
      </c>
      <c r="I46" s="3">
        <f t="shared" si="20"/>
        <v>-227.98797787316397</v>
      </c>
      <c r="J46" s="3">
        <f t="shared" si="20"/>
        <v>-247.13324559308768</v>
      </c>
      <c r="K46" s="3">
        <f t="shared" si="20"/>
        <v>-266.0190023813422</v>
      </c>
      <c r="L46" s="3">
        <f t="shared" si="20"/>
        <v>-286.38087305503376</v>
      </c>
      <c r="M46" s="3">
        <f t="shared" si="20"/>
        <v>-308.34728437605378</v>
      </c>
      <c r="N46" s="3">
        <f t="shared" si="20"/>
        <v>-332.05381522836643</v>
      </c>
    </row>
    <row r="47" spans="2:14" x14ac:dyDescent="0.2">
      <c r="B47" s="62" t="s">
        <v>22</v>
      </c>
      <c r="C47" s="62"/>
      <c r="D47" s="28">
        <f>D45+D46</f>
        <v>101.8297447807106</v>
      </c>
      <c r="E47" s="3">
        <f t="shared" ref="E47:N47" si="21">E45+E46</f>
        <v>1.0732472944382323</v>
      </c>
      <c r="F47" s="3">
        <f t="shared" si="21"/>
        <v>-1.0346830477827496</v>
      </c>
      <c r="G47" s="3">
        <f t="shared" si="21"/>
        <v>-3.5353816536449756</v>
      </c>
      <c r="H47" s="3">
        <f t="shared" si="21"/>
        <v>1.5482984169669578</v>
      </c>
      <c r="I47" s="3">
        <f t="shared" si="21"/>
        <v>-2.2514456711074331</v>
      </c>
      <c r="J47" s="3">
        <f t="shared" si="21"/>
        <v>12.237185933474223</v>
      </c>
      <c r="K47" s="3">
        <f t="shared" si="21"/>
        <v>17.456128085294438</v>
      </c>
      <c r="L47" s="3">
        <f t="shared" si="21"/>
        <v>18.732234422288116</v>
      </c>
      <c r="M47" s="3">
        <f t="shared" si="21"/>
        <v>20.113132114477878</v>
      </c>
      <c r="N47" s="3">
        <f t="shared" si="21"/>
        <v>21.606370863965537</v>
      </c>
    </row>
    <row r="48" spans="2:14" x14ac:dyDescent="0.2">
      <c r="B48" s="62" t="s">
        <v>42</v>
      </c>
      <c r="C48" s="62"/>
      <c r="D48" s="28">
        <f>D47</f>
        <v>101.8297447807106</v>
      </c>
      <c r="E48" s="3">
        <f>E47+D48</f>
        <v>102.90299207514883</v>
      </c>
      <c r="F48" s="3">
        <f t="shared" ref="F48:N48" si="22">F47+E48</f>
        <v>101.86830902736608</v>
      </c>
      <c r="G48" s="3">
        <f t="shared" si="22"/>
        <v>98.332927373721105</v>
      </c>
      <c r="H48" s="3">
        <f t="shared" si="22"/>
        <v>99.881225790688063</v>
      </c>
      <c r="I48" s="3">
        <f t="shared" si="22"/>
        <v>97.62978011958063</v>
      </c>
      <c r="J48" s="3">
        <f t="shared" si="22"/>
        <v>109.86696605305485</v>
      </c>
      <c r="K48" s="3">
        <f t="shared" si="22"/>
        <v>127.32309413834929</v>
      </c>
      <c r="L48" s="3">
        <f t="shared" si="22"/>
        <v>146.05532856063741</v>
      </c>
      <c r="M48" s="3">
        <f t="shared" si="22"/>
        <v>166.16846067511528</v>
      </c>
      <c r="N48" s="3">
        <f t="shared" si="22"/>
        <v>187.77483153908082</v>
      </c>
    </row>
    <row r="49" spans="2:14" ht="19" x14ac:dyDescent="0.25">
      <c r="B49" s="59" t="s">
        <v>41</v>
      </c>
      <c r="C49" s="59"/>
      <c r="D49" s="37">
        <f>NPV(0.15,D47:N47)</f>
        <v>111.70138479369638</v>
      </c>
    </row>
    <row r="50" spans="2:14" ht="19" x14ac:dyDescent="0.25">
      <c r="B50" s="59" t="s">
        <v>24</v>
      </c>
      <c r="C50" s="59"/>
      <c r="D50" s="38" t="s">
        <v>78</v>
      </c>
    </row>
    <row r="51" spans="2:14" x14ac:dyDescent="0.2">
      <c r="B51" s="26"/>
      <c r="C51" s="16"/>
      <c r="D51" s="31"/>
    </row>
    <row r="52" spans="2:14" ht="21" x14ac:dyDescent="0.25">
      <c r="B52" s="39" t="s">
        <v>43</v>
      </c>
      <c r="C52" s="35"/>
      <c r="D52" s="35"/>
    </row>
    <row r="53" spans="2:14" x14ac:dyDescent="0.2">
      <c r="B53" s="62" t="s">
        <v>26</v>
      </c>
      <c r="C53" s="62"/>
      <c r="D53" s="28">
        <f>-D6</f>
        <v>-70</v>
      </c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2:14" x14ac:dyDescent="0.2">
      <c r="B54" s="29" t="s">
        <v>70</v>
      </c>
      <c r="C54" s="29"/>
      <c r="D54" s="16"/>
      <c r="E54" s="3"/>
      <c r="F54" s="3"/>
      <c r="G54" s="3"/>
      <c r="H54" s="3"/>
      <c r="I54" s="3">
        <f>-I6</f>
        <v>-10</v>
      </c>
      <c r="J54" s="3"/>
      <c r="K54" s="3"/>
      <c r="L54" s="3"/>
      <c r="M54" s="3"/>
      <c r="N54" s="3"/>
    </row>
    <row r="55" spans="2:14" x14ac:dyDescent="0.2">
      <c r="B55" s="62" t="s">
        <v>53</v>
      </c>
      <c r="C55" s="62"/>
      <c r="D55" s="16"/>
      <c r="E55" s="3">
        <f>-E46/$D$8</f>
        <v>26.368315170371659</v>
      </c>
      <c r="F55" s="3">
        <f t="shared" ref="F55:N55" si="23">-F46/$D$8</f>
        <v>26.258591466885214</v>
      </c>
      <c r="G55" s="3">
        <f t="shared" si="23"/>
        <v>25.856134532446131</v>
      </c>
      <c r="H55" s="3">
        <f t="shared" si="23"/>
        <v>36.146138399712292</v>
      </c>
      <c r="I55" s="3">
        <f t="shared" si="23"/>
        <v>34.648628856103947</v>
      </c>
      <c r="J55" s="3">
        <f t="shared" si="23"/>
        <v>37.558244011107547</v>
      </c>
      <c r="K55" s="3">
        <f t="shared" si="23"/>
        <v>40.428419814793649</v>
      </c>
      <c r="L55" s="3">
        <f t="shared" si="23"/>
        <v>43.522929035719415</v>
      </c>
      <c r="M55" s="3">
        <f t="shared" si="23"/>
        <v>46.861289418853154</v>
      </c>
      <c r="N55" s="3">
        <f t="shared" si="23"/>
        <v>50.464105657806449</v>
      </c>
    </row>
    <row r="56" spans="2:14" x14ac:dyDescent="0.2">
      <c r="B56" s="62" t="s">
        <v>27</v>
      </c>
      <c r="C56" s="62"/>
      <c r="D56" s="28">
        <f>D53+D55</f>
        <v>-70</v>
      </c>
      <c r="E56" s="3">
        <f t="shared" ref="E56:N56" si="24">E53+E55</f>
        <v>26.368315170371659</v>
      </c>
      <c r="F56" s="3">
        <f t="shared" si="24"/>
        <v>26.258591466885214</v>
      </c>
      <c r="G56" s="3">
        <f t="shared" si="24"/>
        <v>25.856134532446131</v>
      </c>
      <c r="H56" s="3">
        <f t="shared" si="24"/>
        <v>36.146138399712292</v>
      </c>
      <c r="I56" s="3">
        <f t="shared" si="24"/>
        <v>34.648628856103947</v>
      </c>
      <c r="J56" s="3">
        <f t="shared" si="24"/>
        <v>37.558244011107547</v>
      </c>
      <c r="K56" s="3">
        <f t="shared" si="24"/>
        <v>40.428419814793649</v>
      </c>
      <c r="L56" s="3">
        <f t="shared" si="24"/>
        <v>43.522929035719415</v>
      </c>
      <c r="M56" s="3">
        <f t="shared" si="24"/>
        <v>46.861289418853154</v>
      </c>
      <c r="N56" s="3">
        <f t="shared" si="24"/>
        <v>50.464105657806449</v>
      </c>
    </row>
    <row r="57" spans="2:14" x14ac:dyDescent="0.2">
      <c r="B57" s="29" t="s">
        <v>28</v>
      </c>
      <c r="C57" s="19"/>
      <c r="D57" s="28">
        <v>-20</v>
      </c>
      <c r="E57" s="3">
        <f>E56+D56</f>
        <v>-43.631684829628341</v>
      </c>
      <c r="F57" s="3">
        <f t="shared" ref="F57:N57" si="25">F56+E56</f>
        <v>52.626906637256873</v>
      </c>
      <c r="G57" s="3">
        <f t="shared" si="25"/>
        <v>52.114725999331341</v>
      </c>
      <c r="H57" s="3">
        <f t="shared" si="25"/>
        <v>62.002272932158419</v>
      </c>
      <c r="I57" s="3">
        <f t="shared" si="25"/>
        <v>70.79476725581624</v>
      </c>
      <c r="J57" s="3">
        <f t="shared" si="25"/>
        <v>72.206872867211501</v>
      </c>
      <c r="K57" s="3">
        <f t="shared" si="25"/>
        <v>77.986663825901189</v>
      </c>
      <c r="L57" s="3">
        <f t="shared" si="25"/>
        <v>83.951348850513057</v>
      </c>
      <c r="M57" s="3">
        <f t="shared" si="25"/>
        <v>90.384218454572562</v>
      </c>
      <c r="N57" s="3">
        <f t="shared" si="25"/>
        <v>97.325395076659603</v>
      </c>
    </row>
    <row r="58" spans="2:14" x14ac:dyDescent="0.2">
      <c r="B58" s="69" t="s">
        <v>29</v>
      </c>
      <c r="C58" s="69"/>
      <c r="D58" s="32">
        <f>NPV(0.15,D56:N56)</f>
        <v>86.20592735310214</v>
      </c>
    </row>
    <row r="59" spans="2:14" x14ac:dyDescent="0.2">
      <c r="B59" s="69" t="s">
        <v>30</v>
      </c>
      <c r="C59" s="69"/>
      <c r="D59" s="33">
        <f>IRR(D56:N56)</f>
        <v>0.41831436144220979</v>
      </c>
    </row>
  </sheetData>
  <mergeCells count="20">
    <mergeCell ref="B59:C59"/>
    <mergeCell ref="B16:C16"/>
    <mergeCell ref="B49:C49"/>
    <mergeCell ref="B50:C50"/>
    <mergeCell ref="B53:C53"/>
    <mergeCell ref="B55:C55"/>
    <mergeCell ref="B56:C56"/>
    <mergeCell ref="B58:C58"/>
    <mergeCell ref="B40:C40"/>
    <mergeCell ref="B43:C43"/>
    <mergeCell ref="B44:C44"/>
    <mergeCell ref="B45:C45"/>
    <mergeCell ref="B47:C47"/>
    <mergeCell ref="B48:C48"/>
    <mergeCell ref="B25:C26"/>
    <mergeCell ref="B4:C4"/>
    <mergeCell ref="B6:C6"/>
    <mergeCell ref="B7:C7"/>
    <mergeCell ref="B13:C14"/>
    <mergeCell ref="D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69BC-F573-E841-BBDE-538E62D1EEA0}">
  <dimension ref="B1:N61"/>
  <sheetViews>
    <sheetView workbookViewId="0">
      <selection sqref="A1:XFD1048576"/>
    </sheetView>
  </sheetViews>
  <sheetFormatPr baseColWidth="10" defaultRowHeight="16" x14ac:dyDescent="0.2"/>
  <cols>
    <col min="1" max="2" width="10.83203125" style="40"/>
    <col min="3" max="3" width="41.5" style="40" customWidth="1"/>
    <col min="4" max="4" width="16.83203125" style="40" bestFit="1" customWidth="1"/>
    <col min="5" max="16384" width="10.83203125" style="40"/>
  </cols>
  <sheetData>
    <row r="1" spans="2:14" ht="20" x14ac:dyDescent="0.2">
      <c r="C1" s="36" t="s">
        <v>77</v>
      </c>
      <c r="D1" s="68" t="s">
        <v>56</v>
      </c>
      <c r="E1" s="68"/>
      <c r="F1" s="68"/>
      <c r="G1" s="68"/>
      <c r="H1" s="68"/>
      <c r="I1" s="68"/>
    </row>
    <row r="2" spans="2:14" x14ac:dyDescent="0.2">
      <c r="B2" s="4"/>
      <c r="C2" s="4"/>
      <c r="D2" s="4"/>
      <c r="E2" s="4"/>
      <c r="F2" s="4"/>
      <c r="G2" s="4"/>
      <c r="H2" s="4"/>
      <c r="I2" s="4"/>
    </row>
    <row r="3" spans="2:14" x14ac:dyDescent="0.2">
      <c r="B3" s="4"/>
      <c r="C3" s="4"/>
      <c r="D3" s="4"/>
      <c r="E3" s="4"/>
      <c r="F3" s="4"/>
      <c r="G3" s="4"/>
      <c r="H3" s="4"/>
      <c r="I3" s="4"/>
    </row>
    <row r="4" spans="2:14" ht="20" x14ac:dyDescent="0.2">
      <c r="B4" s="65" t="s">
        <v>79</v>
      </c>
      <c r="C4" s="65"/>
      <c r="D4" s="14"/>
      <c r="E4" s="4"/>
      <c r="F4" s="4"/>
      <c r="G4" s="4"/>
      <c r="H4" s="4"/>
      <c r="I4" s="4"/>
    </row>
    <row r="5" spans="2:14" x14ac:dyDescent="0.2">
      <c r="B5" s="41"/>
      <c r="C5" s="41"/>
      <c r="D5" s="41"/>
    </row>
    <row r="6" spans="2:14" x14ac:dyDescent="0.2">
      <c r="B6" s="60" t="s">
        <v>31</v>
      </c>
      <c r="C6" s="60"/>
      <c r="D6" s="41">
        <v>30</v>
      </c>
      <c r="E6" s="40" t="s">
        <v>52</v>
      </c>
      <c r="I6" s="40">
        <v>10</v>
      </c>
    </row>
    <row r="7" spans="2:14" x14ac:dyDescent="0.2">
      <c r="B7" s="60" t="s">
        <v>39</v>
      </c>
      <c r="C7" s="60"/>
      <c r="D7" s="41">
        <f>D6*D8</f>
        <v>197.4</v>
      </c>
    </row>
    <row r="8" spans="2:14" x14ac:dyDescent="0.2">
      <c r="B8" s="41" t="s">
        <v>10</v>
      </c>
      <c r="C8" s="41"/>
      <c r="D8" s="14">
        <v>6.58</v>
      </c>
      <c r="E8" s="4">
        <f>D8</f>
        <v>6.58</v>
      </c>
      <c r="F8" s="4">
        <f t="shared" ref="F8:H8" si="0">E8</f>
        <v>6.58</v>
      </c>
      <c r="G8" s="4">
        <f t="shared" si="0"/>
        <v>6.58</v>
      </c>
      <c r="H8" s="4">
        <f t="shared" si="0"/>
        <v>6.58</v>
      </c>
      <c r="I8" s="1">
        <f>H8*1.2</f>
        <v>7.8959999999999999</v>
      </c>
      <c r="J8" s="1">
        <f t="shared" ref="J8:N8" si="1">I8</f>
        <v>7.8959999999999999</v>
      </c>
      <c r="K8" s="1">
        <f t="shared" si="1"/>
        <v>7.8959999999999999</v>
      </c>
      <c r="L8" s="1">
        <f t="shared" si="1"/>
        <v>7.8959999999999999</v>
      </c>
      <c r="M8" s="1">
        <f t="shared" si="1"/>
        <v>7.8959999999999999</v>
      </c>
      <c r="N8" s="5">
        <f t="shared" si="1"/>
        <v>7.8959999999999999</v>
      </c>
    </row>
    <row r="9" spans="2:14" x14ac:dyDescent="0.2">
      <c r="B9" s="41" t="s">
        <v>11</v>
      </c>
      <c r="C9" s="41"/>
      <c r="D9" s="20">
        <v>35</v>
      </c>
      <c r="E9" s="4" t="s">
        <v>16</v>
      </c>
    </row>
    <row r="10" spans="2:14" x14ac:dyDescent="0.2">
      <c r="B10" s="41" t="s">
        <v>12</v>
      </c>
      <c r="C10" s="41"/>
      <c r="D10" s="20">
        <v>4.5</v>
      </c>
      <c r="E10" s="4" t="s">
        <v>17</v>
      </c>
    </row>
    <row r="11" spans="2:14" x14ac:dyDescent="0.2">
      <c r="B11" s="21" t="s">
        <v>32</v>
      </c>
      <c r="C11" s="21"/>
      <c r="D11" s="22">
        <f>33%</f>
        <v>0.33</v>
      </c>
      <c r="E11" s="4" t="s">
        <v>34</v>
      </c>
      <c r="F11" s="4"/>
    </row>
    <row r="12" spans="2:14" x14ac:dyDescent="0.2">
      <c r="B12" s="21" t="s">
        <v>33</v>
      </c>
      <c r="C12" s="21"/>
      <c r="D12" s="23">
        <v>0.3</v>
      </c>
      <c r="E12" s="4" t="s">
        <v>35</v>
      </c>
      <c r="F12" s="4"/>
    </row>
    <row r="13" spans="2:14" x14ac:dyDescent="0.2">
      <c r="B13" s="61"/>
      <c r="C13" s="61"/>
      <c r="D13" s="41"/>
    </row>
    <row r="14" spans="2:14" x14ac:dyDescent="0.2">
      <c r="B14" s="61"/>
      <c r="C14" s="61"/>
      <c r="D14" s="24">
        <v>2020</v>
      </c>
      <c r="E14" s="2">
        <f>D14+1</f>
        <v>2021</v>
      </c>
      <c r="F14" s="2">
        <f t="shared" ref="F14:M14" si="2">E14+1</f>
        <v>2022</v>
      </c>
      <c r="G14" s="2">
        <f t="shared" si="2"/>
        <v>2023</v>
      </c>
      <c r="H14" s="2">
        <f t="shared" si="2"/>
        <v>2024</v>
      </c>
      <c r="I14" s="2">
        <f t="shared" si="2"/>
        <v>2025</v>
      </c>
      <c r="J14" s="2">
        <f t="shared" si="2"/>
        <v>2026</v>
      </c>
      <c r="K14" s="2">
        <f t="shared" si="2"/>
        <v>2027</v>
      </c>
      <c r="L14" s="2">
        <f t="shared" si="2"/>
        <v>2028</v>
      </c>
      <c r="M14" s="2">
        <f t="shared" si="2"/>
        <v>2029</v>
      </c>
      <c r="N14" s="2">
        <f>M14+1</f>
        <v>2030</v>
      </c>
    </row>
    <row r="15" spans="2:14" x14ac:dyDescent="0.2">
      <c r="B15" s="41" t="s">
        <v>49</v>
      </c>
      <c r="C15" s="21"/>
      <c r="D15" s="41">
        <v>50</v>
      </c>
      <c r="E15" s="40">
        <f>D15*1.08</f>
        <v>54</v>
      </c>
      <c r="F15" s="55">
        <f t="shared" ref="F15:N15" si="3">E15*1.08</f>
        <v>58.320000000000007</v>
      </c>
      <c r="G15" s="55">
        <f t="shared" si="3"/>
        <v>62.985600000000012</v>
      </c>
      <c r="H15" s="55">
        <f t="shared" si="3"/>
        <v>68.024448000000021</v>
      </c>
      <c r="I15" s="55">
        <f t="shared" si="3"/>
        <v>73.466403840000027</v>
      </c>
      <c r="J15" s="55">
        <f t="shared" si="3"/>
        <v>79.343716147200027</v>
      </c>
      <c r="K15" s="55">
        <f t="shared" si="3"/>
        <v>85.691213438976035</v>
      </c>
      <c r="L15" s="55">
        <f t="shared" si="3"/>
        <v>92.546510514094123</v>
      </c>
      <c r="M15" s="55">
        <f t="shared" si="3"/>
        <v>99.950231355221661</v>
      </c>
      <c r="N15" s="55">
        <f t="shared" si="3"/>
        <v>107.94624986363939</v>
      </c>
    </row>
    <row r="16" spans="2:14" x14ac:dyDescent="0.2">
      <c r="B16" s="60" t="s">
        <v>50</v>
      </c>
      <c r="C16" s="60"/>
      <c r="D16" s="25">
        <v>0.3</v>
      </c>
      <c r="E16" s="8">
        <v>0.3</v>
      </c>
      <c r="F16" s="8">
        <v>0.5</v>
      </c>
      <c r="G16" s="8">
        <v>0.5</v>
      </c>
      <c r="H16" s="8">
        <v>0.5</v>
      </c>
      <c r="I16" s="8">
        <v>0.5</v>
      </c>
      <c r="J16" s="8">
        <v>0.5</v>
      </c>
      <c r="K16" s="8">
        <v>0.5</v>
      </c>
      <c r="L16" s="8">
        <v>0.5</v>
      </c>
      <c r="M16" s="8">
        <v>0.5</v>
      </c>
      <c r="N16" s="8">
        <v>0.5</v>
      </c>
    </row>
    <row r="17" spans="2:14" x14ac:dyDescent="0.2">
      <c r="B17" s="46"/>
      <c r="C17" s="46"/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">
      <c r="B18" s="26" t="s">
        <v>13</v>
      </c>
      <c r="C18" s="26"/>
      <c r="D18" s="27">
        <f>D15*D16</f>
        <v>15</v>
      </c>
      <c r="E18" s="1">
        <f t="shared" ref="E18:N18" si="4">E15*E16</f>
        <v>16.2</v>
      </c>
      <c r="F18" s="1">
        <f t="shared" si="4"/>
        <v>29.160000000000004</v>
      </c>
      <c r="G18" s="1">
        <f t="shared" si="4"/>
        <v>31.492800000000006</v>
      </c>
      <c r="H18" s="1">
        <f t="shared" si="4"/>
        <v>34.01222400000001</v>
      </c>
      <c r="I18" s="1">
        <f t="shared" si="4"/>
        <v>36.733201920000013</v>
      </c>
      <c r="J18" s="1">
        <f t="shared" si="4"/>
        <v>39.671858073600013</v>
      </c>
      <c r="K18" s="1">
        <f t="shared" si="4"/>
        <v>42.845606719488018</v>
      </c>
      <c r="L18" s="1">
        <f t="shared" si="4"/>
        <v>46.273255257047062</v>
      </c>
      <c r="M18" s="1">
        <f t="shared" si="4"/>
        <v>49.97511567761083</v>
      </c>
      <c r="N18" s="1">
        <f t="shared" si="4"/>
        <v>53.973124931819697</v>
      </c>
    </row>
    <row r="19" spans="2:14" x14ac:dyDescent="0.2">
      <c r="B19" s="26" t="s">
        <v>14</v>
      </c>
      <c r="C19" s="26"/>
      <c r="D19" s="27">
        <v>6</v>
      </c>
      <c r="E19" s="1">
        <v>6</v>
      </c>
      <c r="F19" s="1">
        <v>6</v>
      </c>
      <c r="G19" s="1">
        <v>6</v>
      </c>
      <c r="H19" s="1">
        <v>6</v>
      </c>
      <c r="I19" s="1">
        <v>6</v>
      </c>
      <c r="J19" s="1">
        <v>6</v>
      </c>
      <c r="K19" s="1">
        <v>6</v>
      </c>
      <c r="L19" s="1">
        <v>6</v>
      </c>
      <c r="M19" s="1">
        <v>6</v>
      </c>
      <c r="N19" s="1">
        <v>6</v>
      </c>
    </row>
    <row r="20" spans="2:14" x14ac:dyDescent="0.2">
      <c r="B20" s="26" t="s">
        <v>0</v>
      </c>
      <c r="C20" s="26"/>
      <c r="D20" s="27">
        <v>11</v>
      </c>
      <c r="E20" s="1">
        <v>13.276000000000002</v>
      </c>
      <c r="F20" s="1">
        <v>15.797760000000004</v>
      </c>
      <c r="G20" s="1">
        <v>18.593235200000002</v>
      </c>
      <c r="H20" s="1">
        <v>21.693280768000005</v>
      </c>
      <c r="I20" s="1">
        <v>25.131936921600005</v>
      </c>
      <c r="J20" s="1">
        <v>27.042491875328007</v>
      </c>
      <c r="K20" s="1">
        <v>28.56589122535425</v>
      </c>
      <c r="L20" s="1">
        <v>30.211162523382594</v>
      </c>
      <c r="M20" s="1">
        <v>31.988055525253202</v>
      </c>
      <c r="N20" s="1">
        <v>33.907099967273467</v>
      </c>
    </row>
    <row r="21" spans="2:14" x14ac:dyDescent="0.2">
      <c r="B21" s="26" t="s">
        <v>1</v>
      </c>
      <c r="C21" s="26"/>
      <c r="D21" s="27">
        <f>D18*$D$9</f>
        <v>525</v>
      </c>
      <c r="E21" s="1">
        <f t="shared" ref="E21:N21" si="5">E18*$D$9</f>
        <v>567</v>
      </c>
      <c r="F21" s="1">
        <f t="shared" si="5"/>
        <v>1020.6000000000001</v>
      </c>
      <c r="G21" s="1">
        <f t="shared" si="5"/>
        <v>1102.2480000000003</v>
      </c>
      <c r="H21" s="1">
        <f t="shared" si="5"/>
        <v>1190.4278400000003</v>
      </c>
      <c r="I21" s="1">
        <f>I18*$D$9</f>
        <v>1285.6620672000004</v>
      </c>
      <c r="J21" s="1">
        <f t="shared" si="5"/>
        <v>1388.5150325760005</v>
      </c>
      <c r="K21" s="1">
        <f t="shared" si="5"/>
        <v>1499.5962351820806</v>
      </c>
      <c r="L21" s="1">
        <f t="shared" si="5"/>
        <v>1619.5639339966472</v>
      </c>
      <c r="M21" s="1">
        <f t="shared" si="5"/>
        <v>1749.129048716379</v>
      </c>
      <c r="N21" s="1">
        <f t="shared" si="5"/>
        <v>1889.0593726136894</v>
      </c>
    </row>
    <row r="22" spans="2:14" x14ac:dyDescent="0.2">
      <c r="B22" s="26" t="s">
        <v>20</v>
      </c>
      <c r="C22" s="26"/>
      <c r="D22" s="27">
        <f>D19*$D$10</f>
        <v>27</v>
      </c>
      <c r="E22" s="1">
        <f t="shared" ref="E22:N22" si="6">E19*$D$10</f>
        <v>27</v>
      </c>
      <c r="F22" s="1">
        <f t="shared" si="6"/>
        <v>27</v>
      </c>
      <c r="G22" s="1">
        <f t="shared" si="6"/>
        <v>27</v>
      </c>
      <c r="H22" s="1">
        <f t="shared" si="6"/>
        <v>27</v>
      </c>
      <c r="I22" s="1">
        <f t="shared" si="6"/>
        <v>27</v>
      </c>
      <c r="J22" s="1">
        <f t="shared" si="6"/>
        <v>27</v>
      </c>
      <c r="K22" s="1">
        <f t="shared" si="6"/>
        <v>27</v>
      </c>
      <c r="L22" s="1">
        <f t="shared" si="6"/>
        <v>27</v>
      </c>
      <c r="M22" s="1">
        <f t="shared" si="6"/>
        <v>27</v>
      </c>
      <c r="N22" s="1">
        <f t="shared" si="6"/>
        <v>27</v>
      </c>
    </row>
    <row r="23" spans="2:14" x14ac:dyDescent="0.2">
      <c r="B23" s="26" t="s">
        <v>2</v>
      </c>
      <c r="C23" s="26"/>
      <c r="D23" s="27">
        <f>D22*$D$8</f>
        <v>177.66</v>
      </c>
      <c r="E23" s="1">
        <f t="shared" ref="E23:N23" si="7">E22*$D$8</f>
        <v>177.66</v>
      </c>
      <c r="F23" s="1">
        <f t="shared" si="7"/>
        <v>177.66</v>
      </c>
      <c r="G23" s="1">
        <f t="shared" si="7"/>
        <v>177.66</v>
      </c>
      <c r="H23" s="1">
        <f t="shared" si="7"/>
        <v>177.66</v>
      </c>
      <c r="I23" s="1">
        <f>I22*$D$8</f>
        <v>177.66</v>
      </c>
      <c r="J23" s="1">
        <f t="shared" si="7"/>
        <v>177.66</v>
      </c>
      <c r="K23" s="1">
        <f t="shared" si="7"/>
        <v>177.66</v>
      </c>
      <c r="L23" s="1">
        <f t="shared" si="7"/>
        <v>177.66</v>
      </c>
      <c r="M23" s="1">
        <f t="shared" si="7"/>
        <v>177.66</v>
      </c>
      <c r="N23" s="1">
        <f t="shared" si="7"/>
        <v>177.66</v>
      </c>
    </row>
    <row r="24" spans="2:14" x14ac:dyDescent="0.2">
      <c r="B24" s="26" t="s">
        <v>3</v>
      </c>
      <c r="C24" s="26"/>
      <c r="D24" s="27">
        <f>D21+D23</f>
        <v>702.66</v>
      </c>
      <c r="E24" s="1">
        <f t="shared" ref="E24:N24" si="8">E21+E23</f>
        <v>744.66</v>
      </c>
      <c r="F24" s="1">
        <f t="shared" si="8"/>
        <v>1198.2600000000002</v>
      </c>
      <c r="G24" s="1">
        <f t="shared" si="8"/>
        <v>1279.9080000000004</v>
      </c>
      <c r="H24" s="1">
        <f t="shared" si="8"/>
        <v>1368.0878400000004</v>
      </c>
      <c r="I24" s="1">
        <f>I21+I23</f>
        <v>1463.3220672000004</v>
      </c>
      <c r="J24" s="1">
        <f t="shared" si="8"/>
        <v>1566.1750325760006</v>
      </c>
      <c r="K24" s="1">
        <f t="shared" si="8"/>
        <v>1677.2562351820807</v>
      </c>
      <c r="L24" s="1">
        <f t="shared" si="8"/>
        <v>1797.2239339966472</v>
      </c>
      <c r="M24" s="1">
        <f t="shared" si="8"/>
        <v>1926.7890487163791</v>
      </c>
      <c r="N24" s="1">
        <f t="shared" si="8"/>
        <v>2066.7193726136893</v>
      </c>
    </row>
    <row r="25" spans="2:14" x14ac:dyDescent="0.2">
      <c r="B25" s="61"/>
      <c r="C25" s="61"/>
      <c r="D25" s="41"/>
    </row>
    <row r="26" spans="2:14" x14ac:dyDescent="0.2">
      <c r="B26" s="61"/>
      <c r="C26" s="61"/>
      <c r="D26" s="41"/>
    </row>
    <row r="27" spans="2:14" x14ac:dyDescent="0.2">
      <c r="B27" s="41" t="s">
        <v>15</v>
      </c>
      <c r="C27" s="41"/>
      <c r="D27" s="27">
        <v>11</v>
      </c>
      <c r="E27" s="1">
        <v>24.276000000000003</v>
      </c>
      <c r="F27" s="1">
        <v>40.073760000000007</v>
      </c>
      <c r="G27" s="1">
        <v>58.666995200000009</v>
      </c>
      <c r="H27" s="1">
        <v>80.36027596800001</v>
      </c>
      <c r="I27" s="1">
        <v>105.49221288960001</v>
      </c>
      <c r="J27" s="1">
        <v>132.53470476492802</v>
      </c>
      <c r="K27" s="1">
        <v>161.10059599028227</v>
      </c>
      <c r="L27" s="1">
        <v>191.31175851366487</v>
      </c>
      <c r="M27" s="1">
        <v>223.29981403891807</v>
      </c>
      <c r="N27" s="1">
        <v>257.20691400619154</v>
      </c>
    </row>
    <row r="28" spans="2:14" x14ac:dyDescent="0.2">
      <c r="B28" s="41"/>
      <c r="C28" s="41"/>
      <c r="D28" s="41"/>
    </row>
    <row r="29" spans="2:14" x14ac:dyDescent="0.2">
      <c r="B29" s="41" t="s">
        <v>9</v>
      </c>
      <c r="C29" s="41"/>
      <c r="D29" s="49">
        <f>25-((0.25*LOG10(D27)))</f>
        <v>24.739651828710443</v>
      </c>
      <c r="E29" s="48">
        <f t="shared" ref="E29:N29" si="9">25-((0.25*LOG10(E27)))</f>
        <v>24.653705717795393</v>
      </c>
      <c r="F29" s="48">
        <f t="shared" si="9"/>
        <v>24.599284976778634</v>
      </c>
      <c r="G29" s="48">
        <f t="shared" si="9"/>
        <v>24.557901538715807</v>
      </c>
      <c r="H29" s="48">
        <f t="shared" si="9"/>
        <v>24.523739645123886</v>
      </c>
      <c r="I29" s="48">
        <f t="shared" si="9"/>
        <v>24.494194899366203</v>
      </c>
      <c r="J29" s="48">
        <f t="shared" si="9"/>
        <v>24.469417596253706</v>
      </c>
      <c r="K29" s="48">
        <f t="shared" si="9"/>
        <v>24.44822571322727</v>
      </c>
      <c r="L29" s="48">
        <f t="shared" si="9"/>
        <v>24.429564584073596</v>
      </c>
      <c r="M29" s="48">
        <f t="shared" si="9"/>
        <v>24.412777909650753</v>
      </c>
      <c r="N29" s="48">
        <f t="shared" si="9"/>
        <v>24.39742934031878</v>
      </c>
    </row>
    <row r="30" spans="2:14" x14ac:dyDescent="0.2">
      <c r="B30" s="41" t="s">
        <v>5</v>
      </c>
      <c r="C30" s="41"/>
      <c r="D30" s="49">
        <f>D29*D20</f>
        <v>272.13617011581488</v>
      </c>
      <c r="E30" s="48">
        <f t="shared" ref="E30:N30" si="10">E29*E20</f>
        <v>327.30259710945165</v>
      </c>
      <c r="F30" s="48">
        <f t="shared" si="10"/>
        <v>388.61360023475453</v>
      </c>
      <c r="G30" s="48">
        <f t="shared" si="10"/>
        <v>456.61083932778496</v>
      </c>
      <c r="H30" s="48">
        <f t="shared" si="10"/>
        <v>532.0003696030052</v>
      </c>
      <c r="I30" s="48">
        <f t="shared" si="10"/>
        <v>615.58656115624797</v>
      </c>
      <c r="J30" s="48">
        <f t="shared" si="10"/>
        <v>661.71402654069902</v>
      </c>
      <c r="K30" s="48">
        <f t="shared" si="10"/>
        <v>698.38535637695907</v>
      </c>
      <c r="L30" s="48">
        <f t="shared" si="10"/>
        <v>738.04554602491885</v>
      </c>
      <c r="M30" s="48">
        <f t="shared" si="10"/>
        <v>780.91729529958309</v>
      </c>
      <c r="N30" s="48">
        <f t="shared" si="10"/>
        <v>827.24607558667958</v>
      </c>
    </row>
    <row r="31" spans="2:14" x14ac:dyDescent="0.2">
      <c r="B31" s="41" t="s">
        <v>4</v>
      </c>
      <c r="C31" s="41"/>
      <c r="D31" s="41">
        <v>12</v>
      </c>
      <c r="E31" s="40">
        <v>12</v>
      </c>
      <c r="F31" s="40">
        <v>12</v>
      </c>
      <c r="G31" s="40">
        <v>12</v>
      </c>
      <c r="H31" s="40">
        <v>12</v>
      </c>
      <c r="I31" s="40">
        <v>16</v>
      </c>
      <c r="J31" s="40">
        <v>16</v>
      </c>
      <c r="K31" s="40">
        <v>16</v>
      </c>
      <c r="L31" s="40">
        <v>16</v>
      </c>
      <c r="M31" s="40">
        <v>16</v>
      </c>
      <c r="N31" s="40">
        <v>16</v>
      </c>
    </row>
    <row r="32" spans="2:14" x14ac:dyDescent="0.2">
      <c r="B32" s="41" t="s">
        <v>6</v>
      </c>
      <c r="C32" s="41"/>
      <c r="D32" s="49">
        <f>D30+D31</f>
        <v>284.13617011581488</v>
      </c>
      <c r="E32" s="48">
        <f t="shared" ref="E32:N32" si="11">E30+E31</f>
        <v>339.30259710945165</v>
      </c>
      <c r="F32" s="48">
        <f t="shared" si="11"/>
        <v>400.61360023475453</v>
      </c>
      <c r="G32" s="48">
        <f t="shared" si="11"/>
        <v>468.61083932778496</v>
      </c>
      <c r="H32" s="48">
        <f t="shared" si="11"/>
        <v>544.0003696030052</v>
      </c>
      <c r="I32" s="48">
        <f t="shared" si="11"/>
        <v>631.58656115624797</v>
      </c>
      <c r="J32" s="48">
        <f t="shared" si="11"/>
        <v>677.71402654069902</v>
      </c>
      <c r="K32" s="48">
        <f t="shared" si="11"/>
        <v>714.38535637695907</v>
      </c>
      <c r="L32" s="48">
        <f t="shared" si="11"/>
        <v>754.04554602491885</v>
      </c>
      <c r="M32" s="48">
        <f t="shared" si="11"/>
        <v>796.91729529958309</v>
      </c>
      <c r="N32" s="48">
        <f t="shared" si="11"/>
        <v>843.24607558667958</v>
      </c>
    </row>
    <row r="33" spans="2:14" x14ac:dyDescent="0.2">
      <c r="B33" s="41"/>
      <c r="C33" s="41"/>
      <c r="D33" s="41"/>
    </row>
    <row r="34" spans="2:14" x14ac:dyDescent="0.2">
      <c r="B34" s="26" t="s">
        <v>7</v>
      </c>
      <c r="C34" s="41"/>
      <c r="D34" s="27">
        <f>D24-D32</f>
        <v>418.52382988418509</v>
      </c>
      <c r="E34" s="1">
        <f t="shared" ref="E34:N34" si="12">E24-E32</f>
        <v>405.35740289054831</v>
      </c>
      <c r="F34" s="1">
        <f t="shared" si="12"/>
        <v>797.64639976524563</v>
      </c>
      <c r="G34" s="1">
        <f t="shared" si="12"/>
        <v>811.29716067221534</v>
      </c>
      <c r="H34" s="1">
        <f t="shared" si="12"/>
        <v>824.08747039699517</v>
      </c>
      <c r="I34" s="1">
        <f t="shared" si="12"/>
        <v>831.73550604375248</v>
      </c>
      <c r="J34" s="1">
        <f t="shared" si="12"/>
        <v>888.46100603530158</v>
      </c>
      <c r="K34" s="1">
        <f t="shared" si="12"/>
        <v>962.87087880512161</v>
      </c>
      <c r="L34" s="1">
        <f t="shared" si="12"/>
        <v>1043.1783879717284</v>
      </c>
      <c r="M34" s="1">
        <f t="shared" si="12"/>
        <v>1129.8717534167959</v>
      </c>
      <c r="N34" s="1">
        <f t="shared" si="12"/>
        <v>1223.4732970270097</v>
      </c>
    </row>
    <row r="35" spans="2:14" x14ac:dyDescent="0.2">
      <c r="B35" s="26" t="s">
        <v>18</v>
      </c>
      <c r="C35" s="41"/>
      <c r="D35" s="27">
        <f>25%*$D$7</f>
        <v>49.35</v>
      </c>
      <c r="E35" s="1">
        <f t="shared" ref="E35:G35" si="13">25%*$D$7</f>
        <v>49.35</v>
      </c>
      <c r="F35" s="1">
        <f t="shared" si="13"/>
        <v>49.35</v>
      </c>
      <c r="G35" s="1">
        <f t="shared" si="13"/>
        <v>49.35</v>
      </c>
      <c r="H35" s="1"/>
      <c r="I35" s="1"/>
      <c r="J35" s="1"/>
      <c r="K35" s="1"/>
      <c r="L35" s="1"/>
      <c r="M35" s="1"/>
      <c r="N35" s="1"/>
    </row>
    <row r="36" spans="2:14" x14ac:dyDescent="0.2">
      <c r="B36" s="26" t="s">
        <v>8</v>
      </c>
      <c r="C36" s="41"/>
      <c r="D36" s="27">
        <f>D34-D35</f>
        <v>369.17382988418507</v>
      </c>
      <c r="E36" s="1">
        <f t="shared" ref="E36:N36" si="14">E34-E35</f>
        <v>356.00740289054829</v>
      </c>
      <c r="F36" s="1">
        <f t="shared" si="14"/>
        <v>748.29639976524561</v>
      </c>
      <c r="G36" s="1">
        <f t="shared" si="14"/>
        <v>761.94716067221532</v>
      </c>
      <c r="H36" s="1">
        <f t="shared" si="14"/>
        <v>824.08747039699517</v>
      </c>
      <c r="I36" s="1">
        <f t="shared" si="14"/>
        <v>831.73550604375248</v>
      </c>
      <c r="J36" s="1">
        <f t="shared" si="14"/>
        <v>888.46100603530158</v>
      </c>
      <c r="K36" s="1">
        <f t="shared" si="14"/>
        <v>962.87087880512161</v>
      </c>
      <c r="L36" s="1">
        <f t="shared" si="14"/>
        <v>1043.1783879717284</v>
      </c>
      <c r="M36" s="1">
        <f t="shared" si="14"/>
        <v>1129.8717534167959</v>
      </c>
      <c r="N36" s="1">
        <f t="shared" si="14"/>
        <v>1223.4732970270097</v>
      </c>
    </row>
    <row r="37" spans="2:14" x14ac:dyDescent="0.2">
      <c r="B37" s="41"/>
      <c r="C37" s="41"/>
      <c r="D37" s="41"/>
    </row>
    <row r="38" spans="2:14" x14ac:dyDescent="0.2">
      <c r="B38" s="26" t="s">
        <v>19</v>
      </c>
      <c r="C38" s="41"/>
      <c r="D38" s="41"/>
    </row>
    <row r="39" spans="2:14" x14ac:dyDescent="0.2">
      <c r="B39" s="26" t="s">
        <v>21</v>
      </c>
      <c r="C39" s="41"/>
      <c r="D39" s="49">
        <f>D36*30%</f>
        <v>110.75214896525551</v>
      </c>
      <c r="E39" s="48">
        <f t="shared" ref="E39:N39" si="15">E36*30%</f>
        <v>106.80222086716448</v>
      </c>
      <c r="F39" s="48">
        <f t="shared" si="15"/>
        <v>224.48891992957368</v>
      </c>
      <c r="G39" s="48">
        <f t="shared" si="15"/>
        <v>228.58414820166459</v>
      </c>
      <c r="H39" s="48">
        <f t="shared" si="15"/>
        <v>247.22624111909855</v>
      </c>
      <c r="I39" s="48">
        <f t="shared" si="15"/>
        <v>249.52065181312574</v>
      </c>
      <c r="J39" s="48">
        <f t="shared" si="15"/>
        <v>266.53830181059044</v>
      </c>
      <c r="K39" s="48">
        <f t="shared" si="15"/>
        <v>288.86126364153648</v>
      </c>
      <c r="L39" s="48">
        <f t="shared" si="15"/>
        <v>312.95351639151852</v>
      </c>
      <c r="M39" s="48">
        <f t="shared" si="15"/>
        <v>338.96152602503872</v>
      </c>
      <c r="N39" s="48">
        <f t="shared" si="15"/>
        <v>367.04198910810288</v>
      </c>
    </row>
    <row r="40" spans="2:14" x14ac:dyDescent="0.2">
      <c r="B40" s="62" t="s">
        <v>46</v>
      </c>
      <c r="C40" s="62"/>
      <c r="D40" s="49">
        <f>D36-D39</f>
        <v>258.42168091892955</v>
      </c>
      <c r="E40" s="48">
        <f t="shared" ref="E40:N40" si="16">E36-E39</f>
        <v>249.20518202338383</v>
      </c>
      <c r="F40" s="48">
        <f t="shared" si="16"/>
        <v>523.80747983567198</v>
      </c>
      <c r="G40" s="48">
        <f t="shared" si="16"/>
        <v>533.36301247055076</v>
      </c>
      <c r="H40" s="48">
        <f t="shared" si="16"/>
        <v>576.86122927789665</v>
      </c>
      <c r="I40" s="48">
        <f t="shared" si="16"/>
        <v>582.21485423062677</v>
      </c>
      <c r="J40" s="48">
        <f t="shared" si="16"/>
        <v>621.9227042247112</v>
      </c>
      <c r="K40" s="48">
        <f t="shared" si="16"/>
        <v>674.00961516358507</v>
      </c>
      <c r="L40" s="48">
        <f t="shared" si="16"/>
        <v>730.22487158020988</v>
      </c>
      <c r="M40" s="48">
        <f t="shared" si="16"/>
        <v>790.91022739175719</v>
      </c>
      <c r="N40" s="48">
        <f t="shared" si="16"/>
        <v>856.4313079189069</v>
      </c>
    </row>
    <row r="41" spans="2:14" x14ac:dyDescent="0.2">
      <c r="B41" s="41"/>
      <c r="C41" s="41"/>
      <c r="D41" s="41"/>
    </row>
    <row r="42" spans="2:14" ht="18" x14ac:dyDescent="0.2">
      <c r="B42" s="34" t="s">
        <v>44</v>
      </c>
      <c r="C42" s="50"/>
      <c r="D42" s="50"/>
    </row>
    <row r="43" spans="2:14" x14ac:dyDescent="0.2">
      <c r="B43" s="41" t="s">
        <v>71</v>
      </c>
      <c r="C43" s="41"/>
      <c r="D43" s="49">
        <f>(1/3)*(D6*D8)</f>
        <v>65.8</v>
      </c>
      <c r="I43" s="48"/>
    </row>
    <row r="44" spans="2:14" x14ac:dyDescent="0.2">
      <c r="B44" s="29" t="s">
        <v>72</v>
      </c>
      <c r="C44" s="29"/>
      <c r="D44" s="49">
        <f>20*6.58</f>
        <v>131.6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2:14" x14ac:dyDescent="0.2">
      <c r="B45" s="62" t="s">
        <v>45</v>
      </c>
      <c r="C45" s="62"/>
      <c r="D45" s="49">
        <f t="shared" ref="D45:N45" si="17">D36-D39</f>
        <v>258.42168091892955</v>
      </c>
      <c r="E45" s="48">
        <f t="shared" si="17"/>
        <v>249.20518202338383</v>
      </c>
      <c r="F45" s="48">
        <f t="shared" si="17"/>
        <v>523.80747983567198</v>
      </c>
      <c r="G45" s="48">
        <f t="shared" si="17"/>
        <v>533.36301247055076</v>
      </c>
      <c r="H45" s="48">
        <f t="shared" si="17"/>
        <v>576.86122927789665</v>
      </c>
      <c r="I45" s="48">
        <f t="shared" si="17"/>
        <v>582.21485423062677</v>
      </c>
      <c r="J45" s="48">
        <f t="shared" si="17"/>
        <v>621.9227042247112</v>
      </c>
      <c r="K45" s="48">
        <f t="shared" si="17"/>
        <v>674.00961516358507</v>
      </c>
      <c r="L45" s="48">
        <f t="shared" si="17"/>
        <v>730.22487158020988</v>
      </c>
      <c r="M45" s="48">
        <f t="shared" si="17"/>
        <v>790.91022739175719</v>
      </c>
      <c r="N45" s="48">
        <f t="shared" si="17"/>
        <v>856.4313079189069</v>
      </c>
    </row>
    <row r="46" spans="2:14" x14ac:dyDescent="0.2">
      <c r="B46" s="62" t="s">
        <v>38</v>
      </c>
      <c r="C46" s="62"/>
      <c r="D46" s="49">
        <f>-33%*D30</f>
        <v>-89.80493613821892</v>
      </c>
      <c r="E46" s="48">
        <f>-33%*(E30-D30)</f>
        <v>-18.204920907900139</v>
      </c>
      <c r="F46" s="48">
        <f t="shared" ref="F46:N46" si="18">-33%*(F30-E30)</f>
        <v>-20.23263103134995</v>
      </c>
      <c r="G46" s="48">
        <f t="shared" si="18"/>
        <v>-22.439088900700042</v>
      </c>
      <c r="H46" s="48">
        <f t="shared" si="18"/>
        <v>-24.878544990822679</v>
      </c>
      <c r="I46" s="48">
        <f t="shared" si="18"/>
        <v>-27.583443212570117</v>
      </c>
      <c r="J46" s="48">
        <f t="shared" si="18"/>
        <v>-15.22206357686885</v>
      </c>
      <c r="K46" s="48">
        <f t="shared" si="18"/>
        <v>-12.101538845965814</v>
      </c>
      <c r="L46" s="48">
        <f t="shared" si="18"/>
        <v>-13.087862583826729</v>
      </c>
      <c r="M46" s="48">
        <f t="shared" si="18"/>
        <v>-14.147677260639199</v>
      </c>
      <c r="N46" s="48">
        <f t="shared" si="18"/>
        <v>-15.288497494741843</v>
      </c>
    </row>
    <row r="47" spans="2:14" x14ac:dyDescent="0.2">
      <c r="B47" s="29" t="s">
        <v>57</v>
      </c>
      <c r="C47" s="29"/>
      <c r="D47" s="49">
        <f>PMT(10%,7,$D$44,0,0)</f>
        <v>-27.031363760598392</v>
      </c>
      <c r="E47" s="48">
        <f t="shared" ref="E47:J47" si="19">PMT(10%,7,$D$44,0,0)</f>
        <v>-27.031363760598392</v>
      </c>
      <c r="F47" s="48">
        <f t="shared" si="19"/>
        <v>-27.031363760598392</v>
      </c>
      <c r="G47" s="48">
        <f t="shared" si="19"/>
        <v>-27.031363760598392</v>
      </c>
      <c r="H47" s="48">
        <f t="shared" si="19"/>
        <v>-27.031363760598392</v>
      </c>
      <c r="I47" s="48">
        <f t="shared" si="19"/>
        <v>-27.031363760598392</v>
      </c>
      <c r="J47" s="48">
        <f t="shared" si="19"/>
        <v>-27.031363760598392</v>
      </c>
      <c r="K47" s="48"/>
      <c r="L47" s="48"/>
      <c r="M47" s="48"/>
      <c r="N47" s="48"/>
    </row>
    <row r="48" spans="2:14" x14ac:dyDescent="0.2">
      <c r="B48" s="62" t="s">
        <v>55</v>
      </c>
      <c r="C48" s="62"/>
      <c r="D48" s="49">
        <f>D45+D46+D47</f>
        <v>141.58538102011224</v>
      </c>
      <c r="E48" s="48">
        <f t="shared" ref="E48:N48" si="20">E45+E46+E47</f>
        <v>203.96889735488529</v>
      </c>
      <c r="F48" s="48">
        <f t="shared" si="20"/>
        <v>476.54348504372365</v>
      </c>
      <c r="G48" s="48">
        <f t="shared" si="20"/>
        <v>483.89255980925236</v>
      </c>
      <c r="H48" s="48">
        <f t="shared" si="20"/>
        <v>524.95132052647557</v>
      </c>
      <c r="I48" s="48">
        <f t="shared" si="20"/>
        <v>527.60004725745819</v>
      </c>
      <c r="J48" s="48">
        <f t="shared" si="20"/>
        <v>579.66927688724388</v>
      </c>
      <c r="K48" s="48">
        <f t="shared" si="20"/>
        <v>661.90807631761925</v>
      </c>
      <c r="L48" s="48">
        <f t="shared" si="20"/>
        <v>717.1370089963832</v>
      </c>
      <c r="M48" s="48">
        <f t="shared" si="20"/>
        <v>776.76255013111802</v>
      </c>
      <c r="N48" s="48">
        <f t="shared" si="20"/>
        <v>841.14281042416508</v>
      </c>
    </row>
    <row r="49" spans="2:14" x14ac:dyDescent="0.2">
      <c r="B49" s="26" t="s">
        <v>58</v>
      </c>
      <c r="C49" s="41"/>
      <c r="D49" s="49">
        <f>-0.8*D45</f>
        <v>-206.73734473514367</v>
      </c>
      <c r="E49" s="48">
        <f t="shared" ref="E49:N49" si="21">-0.8*E45</f>
        <v>-199.36414561870708</v>
      </c>
      <c r="F49" s="48">
        <f t="shared" si="21"/>
        <v>-419.04598386853763</v>
      </c>
      <c r="G49" s="48">
        <f t="shared" si="21"/>
        <v>-426.69040997644061</v>
      </c>
      <c r="H49" s="48">
        <f t="shared" si="21"/>
        <v>-461.48898342231735</v>
      </c>
      <c r="I49" s="48">
        <f t="shared" si="21"/>
        <v>-465.77188338450145</v>
      </c>
      <c r="J49" s="48">
        <f t="shared" si="21"/>
        <v>-497.538163379769</v>
      </c>
      <c r="K49" s="48">
        <f t="shared" si="21"/>
        <v>-539.20769213086805</v>
      </c>
      <c r="L49" s="48">
        <f t="shared" si="21"/>
        <v>-584.17989726416795</v>
      </c>
      <c r="M49" s="48">
        <f t="shared" si="21"/>
        <v>-632.72818191340582</v>
      </c>
      <c r="N49" s="48">
        <f t="shared" si="21"/>
        <v>-685.14504633512558</v>
      </c>
    </row>
    <row r="50" spans="2:14" x14ac:dyDescent="0.2">
      <c r="B50" s="62" t="s">
        <v>22</v>
      </c>
      <c r="C50" s="62"/>
      <c r="D50" s="49">
        <f>D48+D49</f>
        <v>-65.151963715031428</v>
      </c>
      <c r="E50" s="48">
        <f t="shared" ref="E50:N50" si="22">E48+E49</f>
        <v>4.6047517361782013</v>
      </c>
      <c r="F50" s="48">
        <f t="shared" si="22"/>
        <v>57.497501175186017</v>
      </c>
      <c r="G50" s="48">
        <f t="shared" si="22"/>
        <v>57.202149832811756</v>
      </c>
      <c r="H50" s="48">
        <f t="shared" si="22"/>
        <v>63.462337104158223</v>
      </c>
      <c r="I50" s="48">
        <f t="shared" si="22"/>
        <v>61.828163872956736</v>
      </c>
      <c r="J50" s="48">
        <f t="shared" si="22"/>
        <v>82.131113507474879</v>
      </c>
      <c r="K50" s="48">
        <f t="shared" si="22"/>
        <v>122.70038418675119</v>
      </c>
      <c r="L50" s="48">
        <f t="shared" si="22"/>
        <v>132.95711173221525</v>
      </c>
      <c r="M50" s="48">
        <f t="shared" si="22"/>
        <v>144.0343682177122</v>
      </c>
      <c r="N50" s="48">
        <f t="shared" si="22"/>
        <v>155.99776408903949</v>
      </c>
    </row>
    <row r="51" spans="2:14" x14ac:dyDescent="0.2">
      <c r="B51" s="62" t="s">
        <v>42</v>
      </c>
      <c r="C51" s="62"/>
      <c r="D51" s="49">
        <f>D50</f>
        <v>-65.151963715031428</v>
      </c>
      <c r="E51" s="48">
        <f>E50+D51</f>
        <v>-60.547211978853227</v>
      </c>
      <c r="F51" s="48">
        <f t="shared" ref="F51:N51" si="23">F50+E51</f>
        <v>-3.0497108036672103</v>
      </c>
      <c r="G51" s="48">
        <f t="shared" si="23"/>
        <v>54.152439029144546</v>
      </c>
      <c r="H51" s="48">
        <f t="shared" si="23"/>
        <v>117.61477613330277</v>
      </c>
      <c r="I51" s="48">
        <f t="shared" si="23"/>
        <v>179.44294000625951</v>
      </c>
      <c r="J51" s="48">
        <f t="shared" si="23"/>
        <v>261.57405351373438</v>
      </c>
      <c r="K51" s="48">
        <f t="shared" si="23"/>
        <v>384.27443770048558</v>
      </c>
      <c r="L51" s="48">
        <f t="shared" si="23"/>
        <v>517.23154943270083</v>
      </c>
      <c r="M51" s="48">
        <f t="shared" si="23"/>
        <v>661.26591765041303</v>
      </c>
      <c r="N51" s="48">
        <f t="shared" si="23"/>
        <v>817.26368173945252</v>
      </c>
    </row>
    <row r="52" spans="2:14" ht="18" x14ac:dyDescent="0.2">
      <c r="B52" s="59" t="s">
        <v>41</v>
      </c>
      <c r="C52" s="59"/>
      <c r="D52" s="51">
        <f>NPV(0.15,D50:N50)</f>
        <v>253.5366119125483</v>
      </c>
    </row>
    <row r="53" spans="2:14" ht="18" x14ac:dyDescent="0.2">
      <c r="B53" s="59" t="s">
        <v>24</v>
      </c>
      <c r="C53" s="59"/>
      <c r="D53" s="54">
        <f>IRR(D50:N50)</f>
        <v>0.63587221865756249</v>
      </c>
    </row>
    <row r="54" spans="2:14" x14ac:dyDescent="0.2">
      <c r="B54" s="26"/>
      <c r="C54" s="41"/>
      <c r="D54" s="53"/>
    </row>
    <row r="55" spans="2:14" ht="20" x14ac:dyDescent="0.2">
      <c r="B55" s="39" t="s">
        <v>43</v>
      </c>
      <c r="C55" s="56"/>
      <c r="D55" s="56"/>
    </row>
    <row r="56" spans="2:14" x14ac:dyDescent="0.2">
      <c r="B56" s="62" t="s">
        <v>73</v>
      </c>
      <c r="C56" s="62"/>
      <c r="D56" s="49">
        <v>-5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2:14" x14ac:dyDescent="0.2">
      <c r="B57" s="62" t="s">
        <v>59</v>
      </c>
      <c r="C57" s="62"/>
      <c r="D57" s="57">
        <f>-(D49*50%)/D8</f>
        <v>15.70952467592277</v>
      </c>
      <c r="E57" s="58">
        <f t="shared" ref="E57:N57" si="24">-(E49*50%)/E8</f>
        <v>15.149251186831846</v>
      </c>
      <c r="F57" s="58">
        <f t="shared" si="24"/>
        <v>31.84239999001046</v>
      </c>
      <c r="G57" s="58">
        <f t="shared" si="24"/>
        <v>32.423283432860231</v>
      </c>
      <c r="H57" s="58">
        <f t="shared" si="24"/>
        <v>35.06755193178703</v>
      </c>
      <c r="I57" s="58">
        <f t="shared" si="24"/>
        <v>29.494166880984135</v>
      </c>
      <c r="J57" s="58">
        <f t="shared" si="24"/>
        <v>31.50570943387595</v>
      </c>
      <c r="K57" s="58">
        <f t="shared" si="24"/>
        <v>34.144357404436931</v>
      </c>
      <c r="L57" s="58">
        <f t="shared" si="24"/>
        <v>36.992141417437182</v>
      </c>
      <c r="M57" s="58">
        <f t="shared" si="24"/>
        <v>40.066374234638161</v>
      </c>
      <c r="N57" s="58">
        <f t="shared" si="24"/>
        <v>43.385577908759217</v>
      </c>
    </row>
    <row r="58" spans="2:14" x14ac:dyDescent="0.2">
      <c r="B58" s="62" t="s">
        <v>27</v>
      </c>
      <c r="C58" s="62"/>
      <c r="D58" s="49">
        <f t="shared" ref="D58:N58" si="25">D56+D57</f>
        <v>10.70952467592277</v>
      </c>
      <c r="E58" s="48">
        <f t="shared" si="25"/>
        <v>15.149251186831846</v>
      </c>
      <c r="F58" s="48">
        <f t="shared" si="25"/>
        <v>31.84239999001046</v>
      </c>
      <c r="G58" s="48">
        <f t="shared" si="25"/>
        <v>32.423283432860231</v>
      </c>
      <c r="H58" s="48">
        <f t="shared" si="25"/>
        <v>35.06755193178703</v>
      </c>
      <c r="I58" s="48">
        <f t="shared" si="25"/>
        <v>29.494166880984135</v>
      </c>
      <c r="J58" s="48">
        <f t="shared" si="25"/>
        <v>31.50570943387595</v>
      </c>
      <c r="K58" s="48">
        <f t="shared" si="25"/>
        <v>34.144357404436931</v>
      </c>
      <c r="L58" s="48">
        <f t="shared" si="25"/>
        <v>36.992141417437182</v>
      </c>
      <c r="M58" s="48">
        <f t="shared" si="25"/>
        <v>40.066374234638161</v>
      </c>
      <c r="N58" s="48">
        <f t="shared" si="25"/>
        <v>43.385577908759217</v>
      </c>
    </row>
    <row r="59" spans="2:14" x14ac:dyDescent="0.2">
      <c r="B59" s="29" t="s">
        <v>28</v>
      </c>
      <c r="C59" s="47"/>
      <c r="D59" s="49">
        <f>D58</f>
        <v>10.70952467592277</v>
      </c>
      <c r="E59" s="48">
        <f>E58+D58</f>
        <v>25.858775862754616</v>
      </c>
      <c r="F59" s="48">
        <f t="shared" ref="F59:N59" si="26">F58+E58</f>
        <v>46.991651176842304</v>
      </c>
      <c r="G59" s="48">
        <f t="shared" si="26"/>
        <v>64.265683422870694</v>
      </c>
      <c r="H59" s="48">
        <f t="shared" si="26"/>
        <v>67.490835364647268</v>
      </c>
      <c r="I59" s="48">
        <f t="shared" si="26"/>
        <v>64.561718812771161</v>
      </c>
      <c r="J59" s="48">
        <f t="shared" si="26"/>
        <v>60.999876314860089</v>
      </c>
      <c r="K59" s="48">
        <f t="shared" si="26"/>
        <v>65.650066838312881</v>
      </c>
      <c r="L59" s="48">
        <f t="shared" si="26"/>
        <v>71.136498821874113</v>
      </c>
      <c r="M59" s="48">
        <f t="shared" si="26"/>
        <v>77.058515652075343</v>
      </c>
      <c r="N59" s="48">
        <f t="shared" si="26"/>
        <v>83.451952143397378</v>
      </c>
    </row>
    <row r="60" spans="2:14" ht="18" x14ac:dyDescent="0.2">
      <c r="B60" s="59" t="s">
        <v>29</v>
      </c>
      <c r="C60" s="59"/>
      <c r="D60" s="51">
        <f>NPV(0.15,D58:N58)</f>
        <v>143.17928652520337</v>
      </c>
    </row>
    <row r="61" spans="2:14" ht="18" x14ac:dyDescent="0.2">
      <c r="B61" s="59" t="s">
        <v>30</v>
      </c>
      <c r="C61" s="59"/>
      <c r="D61" s="54"/>
    </row>
  </sheetData>
  <mergeCells count="20">
    <mergeCell ref="D1:I1"/>
    <mergeCell ref="B60:C60"/>
    <mergeCell ref="B61:C61"/>
    <mergeCell ref="B51:C51"/>
    <mergeCell ref="B52:C52"/>
    <mergeCell ref="B53:C53"/>
    <mergeCell ref="B56:C56"/>
    <mergeCell ref="B57:C57"/>
    <mergeCell ref="B58:C58"/>
    <mergeCell ref="B50:C50"/>
    <mergeCell ref="B4:C4"/>
    <mergeCell ref="B6:C6"/>
    <mergeCell ref="B7:C7"/>
    <mergeCell ref="B13:C14"/>
    <mergeCell ref="B16:C16"/>
    <mergeCell ref="B25:C26"/>
    <mergeCell ref="B40:C40"/>
    <mergeCell ref="B45:C45"/>
    <mergeCell ref="B46:C46"/>
    <mergeCell ref="B48:C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EBBE-FB56-0943-93AF-EBD4B8A7507B}">
  <dimension ref="A1:N22"/>
  <sheetViews>
    <sheetView tabSelected="1" workbookViewId="0">
      <selection activeCell="F18" sqref="F18"/>
    </sheetView>
  </sheetViews>
  <sheetFormatPr baseColWidth="10" defaultRowHeight="17" customHeight="1" x14ac:dyDescent="0.2"/>
  <cols>
    <col min="1" max="1" width="37.33203125" customWidth="1"/>
    <col min="3" max="3" width="12.33203125" customWidth="1"/>
  </cols>
  <sheetData>
    <row r="1" spans="1:13" ht="20" x14ac:dyDescent="0.2">
      <c r="A1" s="36" t="s">
        <v>77</v>
      </c>
      <c r="D1" s="68" t="s">
        <v>56</v>
      </c>
      <c r="E1" s="68"/>
      <c r="F1" s="68"/>
      <c r="G1" s="68"/>
      <c r="H1" s="68"/>
      <c r="I1" s="68"/>
    </row>
    <row r="2" spans="1:13" ht="16" x14ac:dyDescent="0.2">
      <c r="B2" s="4"/>
      <c r="C2" s="4"/>
      <c r="D2" s="4"/>
      <c r="E2" s="4"/>
      <c r="F2" s="4"/>
      <c r="G2" s="4"/>
      <c r="H2" s="4"/>
      <c r="I2" s="4"/>
    </row>
    <row r="3" spans="1:13" ht="17" customHeight="1" x14ac:dyDescent="0.2">
      <c r="A3" s="13" t="s">
        <v>79</v>
      </c>
    </row>
    <row r="4" spans="1:13" ht="17" customHeight="1" x14ac:dyDescent="0.2">
      <c r="A4" s="40"/>
    </row>
    <row r="5" spans="1:13" ht="17" customHeight="1" x14ac:dyDescent="0.2">
      <c r="A5" s="41" t="s">
        <v>60</v>
      </c>
      <c r="B5" s="16">
        <v>3</v>
      </c>
      <c r="C5" t="s">
        <v>67</v>
      </c>
    </row>
    <row r="6" spans="1:13" ht="17" customHeight="1" x14ac:dyDescent="0.2">
      <c r="A6" s="24" t="s">
        <v>61</v>
      </c>
      <c r="B6" s="24"/>
      <c r="C6" s="2">
        <v>2020</v>
      </c>
      <c r="D6" s="2">
        <f>C6+1</f>
        <v>2021</v>
      </c>
      <c r="E6" s="2">
        <f t="shared" ref="E6:L6" si="0">D6+1</f>
        <v>2022</v>
      </c>
      <c r="F6" s="2">
        <f>E6+1</f>
        <v>2023</v>
      </c>
      <c r="G6" s="2">
        <f t="shared" si="0"/>
        <v>2024</v>
      </c>
      <c r="H6" s="2">
        <f t="shared" si="0"/>
        <v>2025</v>
      </c>
      <c r="I6" s="2">
        <f t="shared" si="0"/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2">
        <f>L6+1</f>
        <v>2030</v>
      </c>
    </row>
    <row r="7" spans="1:13" ht="17" customHeight="1" x14ac:dyDescent="0.2">
      <c r="A7" s="14"/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7" customHeight="1" x14ac:dyDescent="0.2">
      <c r="A8" s="42" t="s">
        <v>62</v>
      </c>
      <c r="B8" s="42"/>
      <c r="C8" s="4">
        <v>6.58</v>
      </c>
      <c r="D8" s="4">
        <f>C8</f>
        <v>6.58</v>
      </c>
      <c r="E8" s="4">
        <f t="shared" ref="E8:G8" si="1">D8</f>
        <v>6.58</v>
      </c>
      <c r="F8" s="4">
        <f>E8</f>
        <v>6.58</v>
      </c>
      <c r="G8" s="4">
        <f t="shared" si="1"/>
        <v>6.58</v>
      </c>
      <c r="H8" s="5">
        <f>G8*1.2</f>
        <v>7.8959999999999999</v>
      </c>
      <c r="I8" s="5">
        <f t="shared" ref="I8:M8" si="2">H8</f>
        <v>7.8959999999999999</v>
      </c>
      <c r="J8" s="5">
        <f t="shared" si="2"/>
        <v>7.8959999999999999</v>
      </c>
      <c r="K8" s="5">
        <f t="shared" si="2"/>
        <v>7.8959999999999999</v>
      </c>
      <c r="L8" s="5">
        <f t="shared" si="2"/>
        <v>7.8959999999999999</v>
      </c>
      <c r="M8" s="5">
        <f t="shared" si="2"/>
        <v>7.8959999999999999</v>
      </c>
    </row>
    <row r="9" spans="1:13" ht="17" customHeight="1" x14ac:dyDescent="0.2">
      <c r="A9" s="14" t="s">
        <v>74</v>
      </c>
      <c r="B9" s="14">
        <v>35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" customHeight="1" x14ac:dyDescent="0.2">
      <c r="A10" s="26" t="s">
        <v>75</v>
      </c>
      <c r="B10" s="26"/>
      <c r="C10" s="1">
        <v>60</v>
      </c>
      <c r="D10" s="1">
        <f>C10*1.08</f>
        <v>64.800000000000011</v>
      </c>
      <c r="E10" s="1">
        <f t="shared" ref="E10:M10" si="3">D10*1.08</f>
        <v>69.984000000000023</v>
      </c>
      <c r="F10" s="1">
        <f>E10*1.08</f>
        <v>75.582720000000023</v>
      </c>
      <c r="G10" s="1">
        <f t="shared" si="3"/>
        <v>81.629337600000028</v>
      </c>
      <c r="H10" s="1">
        <f t="shared" si="3"/>
        <v>88.159684608000035</v>
      </c>
      <c r="I10" s="1">
        <f t="shared" si="3"/>
        <v>95.212459376640041</v>
      </c>
      <c r="J10" s="1">
        <f t="shared" si="3"/>
        <v>102.82945612677125</v>
      </c>
      <c r="K10" s="1">
        <f t="shared" si="3"/>
        <v>111.05581261691296</v>
      </c>
      <c r="L10" s="1">
        <f t="shared" si="3"/>
        <v>119.94027762626601</v>
      </c>
      <c r="M10" s="1">
        <f t="shared" si="3"/>
        <v>129.53549983636731</v>
      </c>
    </row>
    <row r="11" spans="1:13" ht="17" customHeight="1" x14ac:dyDescent="0.2">
      <c r="A11" s="26" t="s">
        <v>63</v>
      </c>
      <c r="B11" s="26"/>
      <c r="C11" s="6">
        <v>0.2</v>
      </c>
      <c r="D11" s="6">
        <v>0.2</v>
      </c>
      <c r="E11" s="6">
        <v>0.2</v>
      </c>
      <c r="F11" s="6">
        <v>0.2</v>
      </c>
      <c r="G11" s="6">
        <v>0.2</v>
      </c>
      <c r="H11" s="6">
        <v>0.2</v>
      </c>
      <c r="I11" s="6">
        <v>0.2</v>
      </c>
      <c r="J11" s="6">
        <v>0.2</v>
      </c>
      <c r="K11" s="6">
        <v>0.2</v>
      </c>
      <c r="L11" s="6">
        <v>0.2</v>
      </c>
      <c r="M11" s="6">
        <v>0.2</v>
      </c>
    </row>
    <row r="12" spans="1:13" ht="17" customHeight="1" x14ac:dyDescent="0.2">
      <c r="A12" s="26" t="s">
        <v>76</v>
      </c>
      <c r="B12" s="26"/>
      <c r="C12" s="1">
        <f>C10*C11</f>
        <v>12</v>
      </c>
      <c r="D12" s="1">
        <f t="shared" ref="D12:M12" si="4">D10*D11</f>
        <v>12.960000000000003</v>
      </c>
      <c r="E12" s="1">
        <f t="shared" si="4"/>
        <v>13.996800000000006</v>
      </c>
      <c r="F12" s="1">
        <f t="shared" si="4"/>
        <v>15.116544000000005</v>
      </c>
      <c r="G12" s="1">
        <f t="shared" si="4"/>
        <v>16.325867520000006</v>
      </c>
      <c r="H12" s="1">
        <f t="shared" si="4"/>
        <v>17.631936921600008</v>
      </c>
      <c r="I12" s="1">
        <f t="shared" si="4"/>
        <v>19.042491875328007</v>
      </c>
      <c r="J12" s="1">
        <f t="shared" si="4"/>
        <v>20.56589122535425</v>
      </c>
      <c r="K12" s="1">
        <f t="shared" si="4"/>
        <v>22.211162523382594</v>
      </c>
      <c r="L12" s="1">
        <f t="shared" si="4"/>
        <v>23.988055525253202</v>
      </c>
      <c r="M12" s="1">
        <f t="shared" si="4"/>
        <v>25.907099967273464</v>
      </c>
    </row>
    <row r="13" spans="1:13" ht="17" customHeight="1" x14ac:dyDescent="0.2">
      <c r="A13" s="26" t="s">
        <v>1</v>
      </c>
      <c r="B13" s="26"/>
      <c r="C13" s="1">
        <f t="shared" ref="C13" si="5">C12*$B$9</f>
        <v>420</v>
      </c>
      <c r="D13" s="1">
        <f t="shared" ref="D13" si="6">D12*$B$9</f>
        <v>453.60000000000008</v>
      </c>
      <c r="E13" s="1">
        <f t="shared" ref="E13" si="7">E12*$B$9</f>
        <v>489.8880000000002</v>
      </c>
      <c r="F13" s="1">
        <f t="shared" ref="F13" si="8">F12*$B$9</f>
        <v>529.07904000000019</v>
      </c>
      <c r="G13" s="1">
        <f t="shared" ref="G13" si="9">G12*$B$9</f>
        <v>571.40536320000024</v>
      </c>
      <c r="H13" s="1">
        <f t="shared" ref="H13" si="10">H12*$B$9</f>
        <v>617.11779225600026</v>
      </c>
      <c r="I13" s="1">
        <f t="shared" ref="I13" si="11">I12*$B$9</f>
        <v>666.4872156364803</v>
      </c>
      <c r="J13" s="1">
        <f t="shared" ref="J13" si="12">J12*$B$9</f>
        <v>719.80619288739877</v>
      </c>
      <c r="K13" s="1">
        <f t="shared" ref="K13" si="13">K12*$B$9</f>
        <v>777.39068831839074</v>
      </c>
      <c r="L13" s="1">
        <f t="shared" ref="L13" si="14">L12*$B$9</f>
        <v>839.58194338386204</v>
      </c>
      <c r="M13" s="1">
        <f t="shared" ref="M13" si="15">M12*$B$9</f>
        <v>906.74849885457127</v>
      </c>
    </row>
    <row r="14" spans="1:13" ht="17" customHeight="1" x14ac:dyDescent="0.2">
      <c r="A14" s="26"/>
      <c r="B14" s="2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7" customHeight="1" x14ac:dyDescent="0.2">
      <c r="A15" s="41"/>
      <c r="B15" s="16"/>
    </row>
    <row r="16" spans="1:13" ht="17" customHeight="1" x14ac:dyDescent="0.2">
      <c r="A16" s="34" t="s">
        <v>25</v>
      </c>
      <c r="B16" s="30"/>
      <c r="C16" s="10"/>
      <c r="E16" s="4"/>
      <c r="F16" s="4"/>
      <c r="G16" s="4"/>
      <c r="H16" s="4"/>
      <c r="I16" s="4"/>
      <c r="J16" s="4"/>
      <c r="K16" s="4"/>
      <c r="L16" s="4"/>
      <c r="M16" s="4"/>
    </row>
    <row r="17" spans="1:14" ht="17" customHeight="1" x14ac:dyDescent="0.2">
      <c r="A17" s="26" t="s">
        <v>26</v>
      </c>
      <c r="B17" s="26"/>
      <c r="C17">
        <v>-0.2</v>
      </c>
      <c r="D17">
        <v>-0.2</v>
      </c>
      <c r="E17">
        <v>-0.2</v>
      </c>
    </row>
    <row r="18" spans="1:14" ht="17" customHeight="1" x14ac:dyDescent="0.2">
      <c r="A18" s="26" t="s">
        <v>60</v>
      </c>
      <c r="B18" s="26"/>
      <c r="C18" s="3"/>
      <c r="D18" s="3"/>
      <c r="E18" s="3"/>
      <c r="F18" s="3">
        <f t="shared" ref="F18:M18" si="16">(3/F8)*$C$12</f>
        <v>5.4711246200607899</v>
      </c>
      <c r="G18" s="3">
        <f t="shared" si="16"/>
        <v>5.4711246200607899</v>
      </c>
      <c r="H18" s="3">
        <f t="shared" si="16"/>
        <v>4.5592705167173255</v>
      </c>
      <c r="I18" s="3">
        <f t="shared" si="16"/>
        <v>4.5592705167173255</v>
      </c>
      <c r="J18" s="3">
        <f t="shared" si="16"/>
        <v>4.5592705167173255</v>
      </c>
      <c r="K18" s="3">
        <f t="shared" si="16"/>
        <v>4.5592705167173255</v>
      </c>
      <c r="L18" s="3">
        <f t="shared" si="16"/>
        <v>4.5592705167173255</v>
      </c>
      <c r="M18" s="3">
        <f t="shared" si="16"/>
        <v>4.5592705167173255</v>
      </c>
    </row>
    <row r="19" spans="1:14" ht="17" customHeight="1" x14ac:dyDescent="0.2">
      <c r="A19" s="26" t="s">
        <v>64</v>
      </c>
      <c r="B19" s="26"/>
      <c r="C19" s="11">
        <f>C17+C18</f>
        <v>-0.2</v>
      </c>
      <c r="D19" s="11">
        <f t="shared" ref="D19:M19" si="17">D17+D18</f>
        <v>-0.2</v>
      </c>
      <c r="E19" s="11">
        <f t="shared" si="17"/>
        <v>-0.2</v>
      </c>
      <c r="F19" s="11">
        <f t="shared" si="17"/>
        <v>5.4711246200607899</v>
      </c>
      <c r="G19" s="11">
        <f t="shared" si="17"/>
        <v>5.4711246200607899</v>
      </c>
      <c r="H19" s="11">
        <f t="shared" si="17"/>
        <v>4.5592705167173255</v>
      </c>
      <c r="I19" s="11">
        <f t="shared" si="17"/>
        <v>4.5592705167173255</v>
      </c>
      <c r="J19" s="11">
        <f t="shared" si="17"/>
        <v>4.5592705167173255</v>
      </c>
      <c r="K19" s="11">
        <f t="shared" si="17"/>
        <v>4.5592705167173255</v>
      </c>
      <c r="L19" s="11">
        <f t="shared" si="17"/>
        <v>4.5592705167173255</v>
      </c>
      <c r="M19" s="11">
        <f t="shared" si="17"/>
        <v>4.5592705167173255</v>
      </c>
      <c r="N19" s="3"/>
    </row>
    <row r="20" spans="1:14" ht="17" customHeight="1" x14ac:dyDescent="0.2">
      <c r="A20" s="26" t="s">
        <v>65</v>
      </c>
      <c r="B20" s="26"/>
      <c r="C20" s="11">
        <f>C19</f>
        <v>-0.2</v>
      </c>
      <c r="D20" s="11">
        <f>C20+D19</f>
        <v>-0.4</v>
      </c>
      <c r="E20" s="11">
        <f t="shared" ref="E20:M20" si="18">D20+E19</f>
        <v>-0.60000000000000009</v>
      </c>
      <c r="F20" s="11">
        <f>E20+F19</f>
        <v>4.8711246200607903</v>
      </c>
      <c r="G20" s="11">
        <f t="shared" si="18"/>
        <v>10.34224924012158</v>
      </c>
      <c r="H20" s="11">
        <f t="shared" si="18"/>
        <v>14.901519756838905</v>
      </c>
      <c r="I20" s="11">
        <f t="shared" si="18"/>
        <v>19.460790273556231</v>
      </c>
      <c r="J20" s="11">
        <f t="shared" si="18"/>
        <v>24.020060790273558</v>
      </c>
      <c r="K20" s="11">
        <f t="shared" si="18"/>
        <v>28.579331306990884</v>
      </c>
      <c r="L20" s="11">
        <f t="shared" si="18"/>
        <v>33.138601823708207</v>
      </c>
      <c r="M20" s="11">
        <f t="shared" si="18"/>
        <v>37.697872340425533</v>
      </c>
    </row>
    <row r="21" spans="1:14" ht="17" customHeight="1" x14ac:dyDescent="0.2">
      <c r="A21" s="43" t="s">
        <v>66</v>
      </c>
      <c r="B21" s="43"/>
      <c r="C21" s="44">
        <f>NPV(0.15,C19:M19)</f>
        <v>13.970130330498852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4" ht="17" customHeight="1" x14ac:dyDescent="0.2">
      <c r="A22" s="43" t="s">
        <v>30</v>
      </c>
      <c r="B22" s="43"/>
      <c r="C22" s="45">
        <f>IRR(C19:M19,0.05)</f>
        <v>2.0313844444340292</v>
      </c>
      <c r="D22" s="4"/>
      <c r="E22" s="4"/>
      <c r="F22" s="4"/>
      <c r="G22" s="4"/>
      <c r="H22" s="4"/>
      <c r="I22" s="4"/>
      <c r="J22" s="4"/>
      <c r="K22" s="4"/>
      <c r="L22" s="4"/>
      <c r="M22" s="4"/>
    </row>
  </sheetData>
  <mergeCells count="1">
    <mergeCell ref="D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Greenfield</vt:lpstr>
      <vt:lpstr>Acquisition</vt:lpstr>
      <vt:lpstr>JOINT venture</vt:lpstr>
      <vt:lpstr>LIcensing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2022-09-12T09:29:31Z</dcterms:created>
  <dcterms:modified xsi:type="dcterms:W3CDTF">2022-10-04T09:32:10Z</dcterms:modified>
</cp:coreProperties>
</file>