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mc:AlternateContent xmlns:mc="http://schemas.openxmlformats.org/markup-compatibility/2006">
    <mc:Choice Requires="x15">
      <x15ac:absPath xmlns:x15ac="http://schemas.microsoft.com/office/spreadsheetml/2010/11/ac" url="https://vlaamseoverheid-my.sharepoint.com/personal/nico_vermeiren_vlaanderen_be/Documents/EXC36.oef/Documenten/"/>
    </mc:Choice>
  </mc:AlternateContent>
  <xr:revisionPtr revIDLastSave="3" documentId="8_{714CFF6F-A9CE-4AD6-9571-E1590553177E}" xr6:coauthVersionLast="47" xr6:coauthVersionMax="47" xr10:uidLastSave="{17CCC0BD-CA8A-4F59-90EB-1FE7869F4102}"/>
  <bookViews>
    <workbookView xWindow="-108" yWindow="-108" windowWidth="23256" windowHeight="12456" tabRatio="827" activeTab="4" xr2:uid="{00000000-000D-0000-FFFF-FFFF00000000}"/>
  </bookViews>
  <sheets>
    <sheet name="Algemene richtlijnen" sheetId="6" r:id="rId1"/>
    <sheet name="Generieke input" sheetId="21" r:id="rId2"/>
    <sheet name="Parameters+keuzes" sheetId="16" r:id="rId3"/>
    <sheet name="OLO-basis" sheetId="17" r:id="rId4"/>
    <sheet name="1A-Infrastructuur met forfait" sheetId="10" r:id="rId5"/>
    <sheet name="1B-Infra zonder forfait" sheetId="18" r:id="rId6"/>
    <sheet name="Formulier 2" sheetId="22" r:id="rId7"/>
    <sheet name="Bijlage investeringsoverzicht" sheetId="28" r:id="rId8"/>
    <sheet name="Bijlage extra vergoedingen" sheetId="15" r:id="rId9"/>
    <sheet name="Checklist overheidstussenkomst" sheetId="11" r:id="rId10"/>
    <sheet name="Checklist_prijsaanvraag" sheetId="20" r:id="rId11"/>
    <sheet name="Output" sheetId="27" r:id="rId12"/>
  </sheets>
  <externalReferences>
    <externalReference r:id="rId13"/>
  </externalReferences>
  <definedNames>
    <definedName name="_xlnm._FilterDatabase" localSheetId="11" hidden="1">Output!$G$2:$G$221</definedName>
    <definedName name="adres_inrichtendemacht" localSheetId="4">'1A-Infrastructuur met forfait'!#REF!</definedName>
    <definedName name="adres_inrichtendemacht" localSheetId="5">'1B-Infra zonder forfait'!#REF!</definedName>
    <definedName name="adres_inrichtendemacht">#REF!</definedName>
    <definedName name="adres_voorziening" localSheetId="4">'1A-Infrastructuur met forfait'!#REF!</definedName>
    <definedName name="adres_voorziening" localSheetId="5">'1B-Infra zonder forfait'!#REF!</definedName>
    <definedName name="adres_voorziening">#REF!</definedName>
    <definedName name="_xlnm.Print_Area" localSheetId="6">'Formulier 2'!$A$1:$O$239</definedName>
    <definedName name="_xlnm.Print_Area" localSheetId="11">Output!$A$1:$F$220</definedName>
    <definedName name="aflossingsmethode_meubilair" localSheetId="4">'1A-Infrastructuur met forfait'!#REF!</definedName>
    <definedName name="aflossingsmethode_meubilair" localSheetId="5">'1B-Infra zonder forfait'!#REF!</definedName>
    <definedName name="aflossingsmethode_meubilair" localSheetId="6">#REF!</definedName>
    <definedName name="aflossingsmethode_meubilair">#REF!</definedName>
    <definedName name="aflossingsmethode_nieuwbouw" localSheetId="4">'1A-Infrastructuur met forfait'!#REF!</definedName>
    <definedName name="aflossingsmethode_nieuwbouw" localSheetId="5">'1B-Infra zonder forfait'!#REF!</definedName>
    <definedName name="aflossingsmethode_nieuwbouw" localSheetId="6">#REF!</definedName>
    <definedName name="aflossingsmethode_nieuwbouw">#REF!</definedName>
    <definedName name="afschrijvingsduur_meubilair" localSheetId="4">'1A-Infrastructuur met forfait'!$H$30</definedName>
    <definedName name="afschrijvingsduur_meubilair" localSheetId="5">'1B-Infra zonder forfait'!#REF!</definedName>
    <definedName name="afschrijvingsduur_meubilair" localSheetId="6">#REF!</definedName>
    <definedName name="afschrijvingsduur_meubilair">#REF!</definedName>
    <definedName name="afschrijvingsduur_nieuwbouw" localSheetId="4">'1A-Infrastructuur met forfait'!$E$30</definedName>
    <definedName name="afschrijvingsduur_nieuwbouw" localSheetId="5">'1B-Infra zonder forfait'!#REF!</definedName>
    <definedName name="afschrijvingsduur_nieuwbouw" localSheetId="6">#REF!</definedName>
    <definedName name="afschrijvingsduur_nieuwbouw">#REF!</definedName>
    <definedName name="apartesanitairecel" localSheetId="4">#REF!</definedName>
    <definedName name="apartesanitairecel" localSheetId="5">#REF!</definedName>
    <definedName name="apartesanitairecel">#REF!</definedName>
    <definedName name="berekendefinancieringskost_meubilair" localSheetId="4">'1A-Infrastructuur met forfait'!#REF!</definedName>
    <definedName name="berekendefinancieringskost_meubilair" localSheetId="5">'1B-Infra zonder forfait'!#REF!</definedName>
    <definedName name="berekendefinancieringskost_meubilair" localSheetId="6">#REF!</definedName>
    <definedName name="berekendefinancieringskost_meubilair">#REF!</definedName>
    <definedName name="berekendefinancieringskost_nieuwbouw" localSheetId="4">'1A-Infrastructuur met forfait'!#REF!</definedName>
    <definedName name="berekendefinancieringskost_nieuwbouw" localSheetId="5">'1B-Infra zonder forfait'!#REF!</definedName>
    <definedName name="berekendefinancieringskost_nieuwbouw" localSheetId="6">#REF!</definedName>
    <definedName name="berekendefinancieringskost_nieuwbouw">#REF!</definedName>
    <definedName name="bewoners_huidig" localSheetId="4">#REF!</definedName>
    <definedName name="bewoners_huidig" localSheetId="5">#REF!</definedName>
    <definedName name="bewoners_huidig">#REF!</definedName>
    <definedName name="bewoners_toekomstig" localSheetId="4">#REF!</definedName>
    <definedName name="bewoners_toekomstig" localSheetId="5">#REF!</definedName>
    <definedName name="bewoners_toekomstig">#REF!</definedName>
    <definedName name="bezettingsgraad_meubilair" localSheetId="4">'1A-Infrastructuur met forfait'!$H$32</definedName>
    <definedName name="bezettingsgraad_meubilair" localSheetId="5">'1B-Infra zonder forfait'!#REF!</definedName>
    <definedName name="bezettingsgraad_meubilair" localSheetId="6">#REF!</definedName>
    <definedName name="bezettingsgraad_meubilair">#REF!</definedName>
    <definedName name="bezettingsgraad_werken" localSheetId="4">'1A-Infrastructuur met forfait'!$E$32</definedName>
    <definedName name="bezettingsgraad_werken" localSheetId="5">'1B-Infra zonder forfait'!$E$26</definedName>
    <definedName name="bezettingsgraad_werken" localSheetId="6">#REF!</definedName>
    <definedName name="bezettingsgraad_werken">#REF!</definedName>
    <definedName name="bouwkost_fin_meubilair" localSheetId="4">'1A-Infrastructuur met forfait'!$H$26</definedName>
    <definedName name="bouwkost_fin_meubilair" localSheetId="5">'1B-Infra zonder forfait'!#REF!</definedName>
    <definedName name="bouwkost_fin_meubilair" localSheetId="6">#REF!</definedName>
    <definedName name="bouwkost_fin_meubilair">#REF!</definedName>
    <definedName name="bouwkost_fin_werken" localSheetId="4">'1A-Infrastructuur met forfait'!$E$26</definedName>
    <definedName name="bouwkost_fin_werken" localSheetId="5">'1B-Infra zonder forfait'!#REF!</definedName>
    <definedName name="bouwkost_fin_werken" localSheetId="6">#REF!</definedName>
    <definedName name="bouwkost_fin_werken">#REF!</definedName>
    <definedName name="bouwkost_meubilair" localSheetId="4">'1A-Infrastructuur met forfait'!$H$21</definedName>
    <definedName name="bouwkost_meubilair" localSheetId="5">'1B-Infra zonder forfait'!#REF!</definedName>
    <definedName name="bouwkost_meubilair" localSheetId="6">#REF!</definedName>
    <definedName name="bouwkost_meubilair">#REF!</definedName>
    <definedName name="bouwkost_netto_werken" localSheetId="4">'1A-Infrastructuur met forfait'!$E$24</definedName>
    <definedName name="bouwkost_netto_werken" localSheetId="5">'1B-Infra zonder forfait'!#REF!</definedName>
    <definedName name="bouwkost_netto_werken" localSheetId="6">#REF!</definedName>
    <definedName name="bouwkost_netto_werken">#REF!</definedName>
    <definedName name="bouwkost_werken" localSheetId="4">'1A-Infrastructuur met forfait'!$E$21</definedName>
    <definedName name="bouwkost_werken" localSheetId="5">'1B-Infra zonder forfait'!$E$20</definedName>
    <definedName name="bouwkost_werken" localSheetId="6">#REF!</definedName>
    <definedName name="bouwkost_werken">#REF!</definedName>
    <definedName name="bouwkost_werken_meubilair" localSheetId="4">'1A-Infrastructuur met forfait'!$H$24</definedName>
    <definedName name="bouwkost_werken_meubilair" localSheetId="5">'1B-Infra zonder forfait'!#REF!</definedName>
    <definedName name="bouwkost_werken_meubilair" localSheetId="6">#REF!</definedName>
    <definedName name="bouwkost_werken_meubilair">#REF!</definedName>
    <definedName name="BTWrecuperatie_meubilair" localSheetId="4">'1A-Infrastructuur met forfait'!$H$23</definedName>
    <definedName name="BTWrecuperatie_meubilair" localSheetId="5">'1B-Infra zonder forfait'!#REF!</definedName>
    <definedName name="BTWrecuperatie_meubilair" localSheetId="6">#REF!</definedName>
    <definedName name="BTWrecuperatie_meubilair">#REF!</definedName>
    <definedName name="BTWrecuperatie_werken" localSheetId="4">'1A-Infrastructuur met forfait'!$E$23</definedName>
    <definedName name="BTWrecuperatie_werken" localSheetId="5">'1B-Infra zonder forfait'!#REF!</definedName>
    <definedName name="BTWrecuperatie_werken" localSheetId="6">#REF!</definedName>
    <definedName name="BTWrecuperatie_werken">#REF!</definedName>
    <definedName name="capexgaw">'Generieke input'!$H$36</definedName>
    <definedName name="capforfait">'Generieke input'!$F$36</definedName>
    <definedName name="capgaw">'Generieke input'!#REF!</definedName>
    <definedName name="capzoforfait">'Generieke input'!$G$36</definedName>
    <definedName name="collectiebewonertoekomstig" localSheetId="4">#REF!</definedName>
    <definedName name="collectiebewonertoekomstig" localSheetId="5">#REF!</definedName>
    <definedName name="collectiebewonertoekomstig">#REF!</definedName>
    <definedName name="collectief_bewoner" localSheetId="4">#REF!</definedName>
    <definedName name="collectief_bewoner" localSheetId="5">#REF!</definedName>
    <definedName name="collectief_bewoner">#REF!</definedName>
    <definedName name="controle">Checklist_prijsaanvraag!$A$1</definedName>
    <definedName name="conversiegroter" localSheetId="4">#REF!</definedName>
    <definedName name="conversiegroter" localSheetId="5">#REF!</definedName>
    <definedName name="conversiegroter">#REF!</definedName>
    <definedName name="conversiemeerpersoon" localSheetId="4">#REF!</definedName>
    <definedName name="conversiemeerpersoon" localSheetId="5">#REF!</definedName>
    <definedName name="conversiemeerpersoon">#REF!</definedName>
    <definedName name="conversieSF" localSheetId="4">#REF!</definedName>
    <definedName name="conversieSF" localSheetId="5">#REF!</definedName>
    <definedName name="conversieSF">#REF!</definedName>
    <definedName name="diversekostverblijfsdag" localSheetId="4">'1A-Infrastructuur met forfait'!#REF!</definedName>
    <definedName name="diversekostverblijfsdag" localSheetId="5">'1B-Infra zonder forfait'!#REF!</definedName>
    <definedName name="diversekostverblijfsdag" localSheetId="6">#REF!</definedName>
    <definedName name="diversekostverblijfsdag">#REF!</definedName>
    <definedName name="diversemotivatie" localSheetId="4">#REF!</definedName>
    <definedName name="diversemotivatie" localSheetId="5">#REF!</definedName>
    <definedName name="diversemotivatie">#REF!</definedName>
    <definedName name="dossiernummer_ZG" localSheetId="4">'1A-Infrastructuur met forfait'!#REF!</definedName>
    <definedName name="dossiernummer_ZG" localSheetId="5">'1B-Infra zonder forfait'!#REF!</definedName>
    <definedName name="dossiernummer_ZG">#REF!</definedName>
    <definedName name="erkende_plaatsen1" localSheetId="4">'1A-Infrastructuur met forfait'!$E$29</definedName>
    <definedName name="erkende_plaatsen1" localSheetId="5">'1B-Infra zonder forfait'!$E$24</definedName>
    <definedName name="erkende_plaatsen1" localSheetId="6">#REF!</definedName>
    <definedName name="erkende_plaatsen1">#REF!</definedName>
    <definedName name="erkendeplaatsen_2" localSheetId="4">'1A-Infrastructuur met forfait'!$H$29</definedName>
    <definedName name="erkendeplaatsen_2" localSheetId="5">'1B-Infra zonder forfait'!#REF!</definedName>
    <definedName name="erkendeplaatsen_2" localSheetId="6">#REF!</definedName>
    <definedName name="erkendeplaatsen_2">#REF!</definedName>
    <definedName name="erkendeplaatsen_3" localSheetId="4">'1A-Infrastructuur met forfait'!#REF!</definedName>
    <definedName name="erkendeplaatsen_3" localSheetId="5">'1B-Infra zonder forfait'!#REF!</definedName>
    <definedName name="erkendeplaatsen_3" localSheetId="6">#REF!</definedName>
    <definedName name="erkendeplaatsen_3">#REF!</definedName>
    <definedName name="exGAW">'Formulier 2'!$A$1</definedName>
    <definedName name="financieringskost_meubilair" localSheetId="4">'1A-Infrastructuur met forfait'!$H$25</definedName>
    <definedName name="financieringskost_meubilair" localSheetId="5">'1B-Infra zonder forfait'!#REF!</definedName>
    <definedName name="financieringskost_meubilair" localSheetId="6">#REF!</definedName>
    <definedName name="financieringskost_meubilair">#REF!</definedName>
    <definedName name="financieringskost_werken" localSheetId="4">'1A-Infrastructuur met forfait'!$E$25</definedName>
    <definedName name="financieringskost_werken" localSheetId="5">'1B-Infra zonder forfait'!#REF!</definedName>
    <definedName name="financieringskost_werken" localSheetId="6">#REF!</definedName>
    <definedName name="financieringskost_werken">#REF!</definedName>
    <definedName name="financieringskostmeubilair" localSheetId="4">'1A-Infrastructuur met forfait'!#REF!</definedName>
    <definedName name="financieringskostmeubilair" localSheetId="5">'1B-Infra zonder forfait'!#REF!</definedName>
    <definedName name="financieringskostmeubilair" localSheetId="6">#REF!</definedName>
    <definedName name="financieringskostmeubilair">#REF!</definedName>
    <definedName name="financieringskostnieuwbouw" localSheetId="4">'1A-Infrastructuur met forfait'!#REF!</definedName>
    <definedName name="financieringskostnieuwbouw" localSheetId="5">'1B-Infra zonder forfait'!#REF!</definedName>
    <definedName name="financieringskostnieuwbouw" localSheetId="6">#REF!</definedName>
    <definedName name="financieringskostnieuwbouw">#REF!</definedName>
    <definedName name="forfait" localSheetId="6">'[1]Algemene instructies'!$D$16</definedName>
    <definedName name="forfait">'Parameters+keuzes'!$B$27</definedName>
    <definedName name="forfait2" localSheetId="6">'[1]Algemene instructies'!$D$17</definedName>
    <definedName name="forfait2">'Parameters+keuzes'!$C$27</definedName>
    <definedName name="GAW">#REF!</definedName>
    <definedName name="geklimatiseerd_huidig" localSheetId="4">#REF!</definedName>
    <definedName name="geklimatiseerd_huidig" localSheetId="5">#REF!</definedName>
    <definedName name="geklimatiseerd_huidig">#REF!</definedName>
    <definedName name="geklimatiseerd_toekomstig" localSheetId="4">#REF!</definedName>
    <definedName name="geklimatiseerd_toekomstig" localSheetId="5">#REF!</definedName>
    <definedName name="geklimatiseerd_toekomstig">#REF!</definedName>
    <definedName name="generiek">'Generieke input'!$A$3</definedName>
    <definedName name="groter_huidig" localSheetId="4">#REF!</definedName>
    <definedName name="groter_huidig" localSheetId="5">#REF!</definedName>
    <definedName name="groter_huidig">#REF!</definedName>
    <definedName name="groter_toekomstig" localSheetId="4">#REF!</definedName>
    <definedName name="groter_toekomstig" localSheetId="5">#REF!</definedName>
    <definedName name="groter_toekomstig">#REF!</definedName>
    <definedName name="infra_exforfait">'1B-Infra zonder forfait'!$B$2</definedName>
    <definedName name="infra_forfait">'1A-Infrastructuur met forfait'!#REF!</definedName>
    <definedName name="infraforfait">'1A-Infrastructuur met forfait'!$A$1</definedName>
    <definedName name="infrakost_verblijfsdag_meubilair" localSheetId="4">'1A-Infrastructuur met forfait'!$H$33</definedName>
    <definedName name="infrakost_verblijfsdag_meubilair" localSheetId="5">'1B-Infra zonder forfait'!#REF!</definedName>
    <definedName name="infrakost_verblijfsdag_meubilair" localSheetId="6">#REF!</definedName>
    <definedName name="infrakost_verblijfsdag_meubilair">#REF!</definedName>
    <definedName name="infrakost_verblijfsdag_werken" localSheetId="4">'1A-Infrastructuur met forfait'!$E$33</definedName>
    <definedName name="infrakost_verblijfsdag_werken" localSheetId="5">'1B-Infra zonder forfait'!$E$27</definedName>
    <definedName name="infrakost_verblijfsdag_werken" localSheetId="6">#REF!</definedName>
    <definedName name="infrakost_verblijfsdag_werken">#REF!</definedName>
    <definedName name="infrastructuurcomponent_dagprijs" localSheetId="4">'1A-Infrastructuur met forfait'!$G$37</definedName>
    <definedName name="infrastructuurcomponent_dagprijs" localSheetId="5">'1B-Infra zonder forfait'!#REF!</definedName>
    <definedName name="infrastructuurcomponent_dagprijs" localSheetId="6">#REF!</definedName>
    <definedName name="infrastructuurcomponent_dagprijs">#REF!</definedName>
    <definedName name="intrestsubsidie_meubilair" localSheetId="4">'1A-Infrastructuur met forfait'!#REF!</definedName>
    <definedName name="intrestsubsidie_meubilair" localSheetId="5">'1B-Infra zonder forfait'!#REF!</definedName>
    <definedName name="intrestsubsidie_meubilair" localSheetId="6">#REF!</definedName>
    <definedName name="intrestsubsidie_meubilair">#REF!</definedName>
    <definedName name="intrestsubsidie_werken" localSheetId="4">'1A-Infrastructuur met forfait'!#REF!</definedName>
    <definedName name="intrestsubsidie_werken" localSheetId="5">'1B-Infra zonder forfait'!#REF!</definedName>
    <definedName name="intrestsubsidie_werken" localSheetId="6">#REF!</definedName>
    <definedName name="intrestsubsidie_werken">#REF!</definedName>
    <definedName name="investeringskostmeubilair" localSheetId="4">'1A-Infrastructuur met forfait'!#REF!</definedName>
    <definedName name="investeringskostmeubilair" localSheetId="5">'1B-Infra zonder forfait'!#REF!</definedName>
    <definedName name="investeringskostmeubilair" localSheetId="6">#REF!</definedName>
    <definedName name="investeringskostmeubilair">#REF!</definedName>
    <definedName name="investeringskostnieuwbouw" localSheetId="4">'1A-Infrastructuur met forfait'!#REF!</definedName>
    <definedName name="investeringskostnieuwbouw" localSheetId="5">'1B-Infra zonder forfait'!#REF!</definedName>
    <definedName name="investeringskostnieuwbouw" localSheetId="6">#REF!</definedName>
    <definedName name="investeringskostnieuwbouw">#REF!</definedName>
    <definedName name="investeringstedenbouwkundig" localSheetId="4">#REF!</definedName>
    <definedName name="investeringstedenbouwkundig" localSheetId="5">#REF!</definedName>
    <definedName name="investeringstedenbouwkundig">#REF!</definedName>
    <definedName name="kapitaalsubsidie_meubilair" localSheetId="4">'1A-Infrastructuur met forfait'!$H$22</definedName>
    <definedName name="kapitaalsubsidie_meubilair" localSheetId="5">'1B-Infra zonder forfait'!#REF!</definedName>
    <definedName name="kapitaalsubsidie_meubilair" localSheetId="6">#REF!</definedName>
    <definedName name="kapitaalsubsidie_meubilair">#REF!</definedName>
    <definedName name="kapitaalsubsidie_nieuwbouw" localSheetId="4">'1A-Infrastructuur met forfait'!$E$22</definedName>
    <definedName name="kapitaalsubsidie_nieuwbouw" localSheetId="5">'1B-Infra zonder forfait'!#REF!</definedName>
    <definedName name="kapitaalsubsidie_nieuwbouw" localSheetId="6">#REF!</definedName>
    <definedName name="kapitaalsubsidie_nieuwbouw">#REF!</definedName>
    <definedName name="kine_huidig" localSheetId="4">#REF!</definedName>
    <definedName name="kine_huidig" localSheetId="5">#REF!</definedName>
    <definedName name="kine_huidig">#REF!</definedName>
    <definedName name="kine_toekomstig" localSheetId="4">#REF!</definedName>
    <definedName name="kine_toekomstig" localSheetId="5">#REF!</definedName>
    <definedName name="kine_toekomstig">#REF!</definedName>
    <definedName name="lenigmeubilair" localSheetId="4">'1A-Infrastructuur met forfait'!#REF!</definedName>
    <definedName name="lenigmeubilair" localSheetId="5">'1B-Infra zonder forfait'!#REF!</definedName>
    <definedName name="lenigmeubilair" localSheetId="6">#REF!</definedName>
    <definedName name="lenigmeubilair">#REF!</definedName>
    <definedName name="leningnieuwbouw" localSheetId="4">'1A-Infrastructuur met forfait'!#REF!</definedName>
    <definedName name="leningnieuwbouw" localSheetId="5">'1B-Infra zonder forfait'!#REF!</definedName>
    <definedName name="leningnieuwbouw" localSheetId="6">#REF!</definedName>
    <definedName name="leningnieuwbouw">#REF!</definedName>
    <definedName name="looptijdlening" localSheetId="4">'1A-Infrastructuur met forfait'!#REF!</definedName>
    <definedName name="looptijdlening" localSheetId="5">'1B-Infra zonder forfait'!#REF!</definedName>
    <definedName name="looptijdlening" localSheetId="6">#REF!</definedName>
    <definedName name="looptijdlening">#REF!</definedName>
    <definedName name="looptijdleningmeubilair" localSheetId="4">'1A-Infrastructuur met forfait'!#REF!</definedName>
    <definedName name="looptijdleningmeubilair" localSheetId="5">'1B-Infra zonder forfait'!#REF!</definedName>
    <definedName name="looptijdleningmeubilair" localSheetId="6">#REF!</definedName>
    <definedName name="looptijdleningmeubilair">#REF!</definedName>
    <definedName name="looptijdleningnieuwbouw" localSheetId="4">'1A-Infrastructuur met forfait'!#REF!</definedName>
    <definedName name="looptijdleningnieuwbouw" localSheetId="5">'1B-Infra zonder forfait'!#REF!</definedName>
    <definedName name="looptijdleningnieuwbouw" localSheetId="6">#REF!</definedName>
    <definedName name="looptijdleningnieuwbouw">#REF!</definedName>
    <definedName name="naam_inrichtendemacht" localSheetId="4">'1A-Infrastructuur met forfait'!#REF!</definedName>
    <definedName name="naam_inrichtendemacht" localSheetId="5">'1B-Infra zonder forfait'!#REF!</definedName>
    <definedName name="naam_inrichtendemacht">#REF!</definedName>
    <definedName name="naamvoorziening" localSheetId="4">'1A-Infrastructuur met forfait'!#REF!</definedName>
    <definedName name="naamvoorziening" localSheetId="5">'1B-Infra zonder forfait'!#REF!</definedName>
    <definedName name="naamvoorziening">#REF!</definedName>
    <definedName name="nettobouwkost_meubilair" localSheetId="4">'1A-Infrastructuur met forfait'!$H$28</definedName>
    <definedName name="nettobouwkost_meubilair" localSheetId="5">'1B-Infra zonder forfait'!#REF!</definedName>
    <definedName name="nettobouwkost_meubilair" localSheetId="6">#REF!</definedName>
    <definedName name="nettobouwkost_meubilair">#REF!</definedName>
    <definedName name="nettobouwkost_werken" localSheetId="4">'1A-Infrastructuur met forfait'!$E$28</definedName>
    <definedName name="nettobouwkost_werken" localSheetId="5">'1B-Infra zonder forfait'!#REF!</definedName>
    <definedName name="nettobouwkost_werken" localSheetId="6">#REF!</definedName>
    <definedName name="nettobouwkost_werken">#REF!</definedName>
    <definedName name="ondernemingsnummer" localSheetId="4">'1A-Infrastructuur met forfait'!#REF!</definedName>
    <definedName name="ondernemingsnummer" localSheetId="5">'1B-Infra zonder forfait'!#REF!</definedName>
    <definedName name="ondernemingsnummer" localSheetId="6">#REF!</definedName>
    <definedName name="ondernemingsnummer">#REF!</definedName>
    <definedName name="onroerende_voorheffing" localSheetId="4">'1A-Infrastructuur met forfait'!$E$27</definedName>
    <definedName name="onroerende_voorheffing" localSheetId="5">'1B-Infra zonder forfait'!#REF!</definedName>
    <definedName name="onroerende_voorheffing" localSheetId="6">#REF!</definedName>
    <definedName name="onroerende_voorheffing">#REF!</definedName>
    <definedName name="output">Output!$A$2</definedName>
    <definedName name="pkosteigenvermogen" localSheetId="4">'1A-Infrastructuur met forfait'!#REF!</definedName>
    <definedName name="pkosteigenvermogen" localSheetId="5">'1B-Infra zonder forfait'!#REF!</definedName>
    <definedName name="pkosteigenvermogen" localSheetId="6">#REF!</definedName>
    <definedName name="pkosteigenvermogen">#REF!</definedName>
    <definedName name="pkostmeubilair" localSheetId="4">'1A-Infrastructuur met forfait'!#REF!</definedName>
    <definedName name="pkostmeubilair" localSheetId="5">'1B-Infra zonder forfait'!#REF!</definedName>
    <definedName name="pkostmeubilair" localSheetId="6">#REF!</definedName>
    <definedName name="pkostmeubilair">#REF!</definedName>
    <definedName name="pkostnieuwbouw" localSheetId="4">'1A-Infrastructuur met forfait'!#REF!</definedName>
    <definedName name="pkostnieuwbouw" localSheetId="5">'1B-Infra zonder forfait'!#REF!</definedName>
    <definedName name="pkostnieuwbouw" localSheetId="6">#REF!</definedName>
    <definedName name="pkostnieuwbouw">#REF!</definedName>
    <definedName name="rechtsvorm" localSheetId="4">'1A-Infrastructuur met forfait'!#REF!</definedName>
    <definedName name="rechtsvorm" localSheetId="5">'1B-Infra zonder forfait'!#REF!</definedName>
    <definedName name="rechtsvorm">#REF!</definedName>
    <definedName name="RIZIV">'Checklist overheidstussenkomst'!$A$4</definedName>
    <definedName name="sanitair_huidig" localSheetId="4">#REF!</definedName>
    <definedName name="sanitair_huidig" localSheetId="5">#REF!</definedName>
    <definedName name="sanitair_huidig">#REF!</definedName>
    <definedName name="sanitair_toekomstig" localSheetId="4">#REF!</definedName>
    <definedName name="sanitair_toekomstig" localSheetId="5">#REF!</definedName>
    <definedName name="sanitair_toekomstig">#REF!</definedName>
    <definedName name="sanitairecel" localSheetId="4">#REF!</definedName>
    <definedName name="sanitairecel" localSheetId="5">#REF!</definedName>
    <definedName name="sanitairecel">#REF!</definedName>
    <definedName name="stedenbouwkundig_collectief" localSheetId="4">#REF!</definedName>
    <definedName name="stedenbouwkundig_collectief" localSheetId="5">#REF!</definedName>
    <definedName name="stedenbouwkundig_collectief">#REF!</definedName>
    <definedName name="stedenbouwkundig_toekomstigcollectief" localSheetId="4">#REF!</definedName>
    <definedName name="stedenbouwkundig_toekomstigcollectief" localSheetId="5">#REF!</definedName>
    <definedName name="stedenbouwkundig_toekomstigcollectief">#REF!</definedName>
    <definedName name="stedenbouwkundig_toekomstigeoppervlakte" localSheetId="4">#REF!</definedName>
    <definedName name="stedenbouwkundig_toekomstigeoppervlakte" localSheetId="5">#REF!</definedName>
    <definedName name="stedenbouwkundig_toekomstigeoppervlakte">#REF!</definedName>
    <definedName name="stedenbouwkundighuidigoppervlakte" localSheetId="4">#REF!</definedName>
    <definedName name="stedenbouwkundighuidigoppervlakte" localSheetId="5">#REF!</definedName>
    <definedName name="stedenbouwkundighuidigoppervlakte">#REF!</definedName>
    <definedName name="supplement">'Bijlage extra vergoedingen'!$A$1</definedName>
    <definedName name="toename" localSheetId="4">#REF!</definedName>
    <definedName name="toename" localSheetId="5">#REF!</definedName>
    <definedName name="toename">#REF!</definedName>
    <definedName name="toenameconversie" localSheetId="4">#REF!</definedName>
    <definedName name="toenameconversie" localSheetId="5">#REF!</definedName>
    <definedName name="toenameconversie">#REF!</definedName>
    <definedName name="totaledagprijs" localSheetId="4">'1A-Infrastructuur met forfait'!#REF!</definedName>
    <definedName name="totaledagprijs" localSheetId="5">'1B-Infra zonder forfait'!#REF!</definedName>
    <definedName name="totaledagprijs" localSheetId="6">#REF!</definedName>
    <definedName name="totaledagprijs">#REF!</definedName>
    <definedName name="uitleg_clausule">'1A-Infrastructuur met forfait'!$B$200</definedName>
    <definedName name="uitleg_clausule_2">'1B-Infra zonder forfait'!$B$190</definedName>
    <definedName name="varia_huidig" localSheetId="4">#REF!</definedName>
    <definedName name="varia_huidig" localSheetId="5">#REF!</definedName>
    <definedName name="varia_huidig">#REF!</definedName>
    <definedName name="varia_toekomstig" localSheetId="4">#REF!</definedName>
    <definedName name="varia_toekomstig" localSheetId="5">#REF!</definedName>
    <definedName name="varia_toekomstig">#REF!</definedName>
    <definedName name="weerhoudenfinancieringskost_meubilair" localSheetId="4">'1A-Infrastructuur met forfait'!#REF!</definedName>
    <definedName name="weerhoudenfinancieringskost_meubilair" localSheetId="5">'1B-Infra zonder forfait'!#REF!</definedName>
    <definedName name="weerhoudenfinancieringskost_meubilair" localSheetId="6">#REF!</definedName>
    <definedName name="weerhoudenfinancieringskost_meubilair">#REF!</definedName>
    <definedName name="weerhoudenfinancieringskost_nieuwbouw" localSheetId="4">'1A-Infrastructuur met forfait'!#REF!</definedName>
    <definedName name="weerhoudenfinancieringskost_nieuwbouw" localSheetId="5">'1B-Infra zonder forfait'!#REF!</definedName>
    <definedName name="weerhoudenfinancieringskost_nieuwbouw" localSheetId="6">#REF!</definedName>
    <definedName name="weerhoudenfinancieringskost_nieuwbouw">#REF!</definedName>
    <definedName name="zit_huidig" localSheetId="4">#REF!</definedName>
    <definedName name="zit_huidig" localSheetId="5">#REF!</definedName>
    <definedName name="zit_huidig">#REF!</definedName>
    <definedName name="zit_toekomstig" localSheetId="4">#REF!</definedName>
    <definedName name="zit_toekomstig" localSheetId="5">#REF!</definedName>
    <definedName name="zit_toekomsti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2" i="18" l="1"/>
  <c r="B191" i="18"/>
  <c r="B190" i="18"/>
  <c r="G71" i="28"/>
  <c r="G72" i="28"/>
  <c r="G73" i="28"/>
  <c r="G74" i="28"/>
  <c r="G75" i="28"/>
  <c r="G76" i="28"/>
  <c r="G77" i="28"/>
  <c r="G78" i="28"/>
  <c r="G79" i="28"/>
  <c r="G80" i="28"/>
  <c r="G81" i="28"/>
  <c r="G82" i="28"/>
  <c r="G83" i="28"/>
  <c r="G84" i="28"/>
  <c r="G85" i="28"/>
  <c r="G86" i="28"/>
  <c r="G87" i="28"/>
  <c r="G88" i="28"/>
  <c r="G89" i="28"/>
  <c r="G90" i="28"/>
  <c r="G91" i="28"/>
  <c r="G92" i="28"/>
  <c r="G93" i="28"/>
  <c r="G94" i="28"/>
  <c r="G95" i="28"/>
  <c r="G96" i="28"/>
  <c r="G97" i="28"/>
  <c r="G98" i="28"/>
  <c r="G99" i="28"/>
  <c r="G100" i="28"/>
  <c r="G101" i="28"/>
  <c r="G56" i="28"/>
  <c r="G57" i="28"/>
  <c r="G58" i="28"/>
  <c r="G59" i="28"/>
  <c r="G60" i="28"/>
  <c r="G61" i="28"/>
  <c r="G62" i="28"/>
  <c r="G63" i="28"/>
  <c r="G64" i="28"/>
  <c r="G65" i="28"/>
  <c r="G66" i="28"/>
  <c r="G67" i="28"/>
  <c r="G68" i="28"/>
  <c r="G69" i="28"/>
  <c r="G70" i="28"/>
  <c r="G102" i="28"/>
  <c r="G103" i="28"/>
  <c r="G104" i="28"/>
  <c r="G105" i="28"/>
  <c r="G151" i="28"/>
  <c r="G152" i="28"/>
  <c r="G153" i="28"/>
  <c r="G154" i="28"/>
  <c r="G155" i="28"/>
  <c r="G156" i="28"/>
  <c r="G157" i="28"/>
  <c r="G158" i="28"/>
  <c r="G159" i="28"/>
  <c r="G160" i="28"/>
  <c r="G161" i="28"/>
  <c r="G162" i="28"/>
  <c r="G163" i="28"/>
  <c r="G164" i="28"/>
  <c r="G165" i="28"/>
  <c r="G166" i="28"/>
  <c r="G167" i="28"/>
  <c r="G168" i="28"/>
  <c r="G169" i="28"/>
  <c r="G115" i="28"/>
  <c r="G116" i="28"/>
  <c r="G117" i="28"/>
  <c r="G118" i="28"/>
  <c r="G119" i="28"/>
  <c r="G120" i="28"/>
  <c r="G121" i="28"/>
  <c r="G122" i="28"/>
  <c r="G123" i="28"/>
  <c r="G124" i="28"/>
  <c r="G125" i="28"/>
  <c r="G126" i="28"/>
  <c r="G127" i="28"/>
  <c r="G128" i="28"/>
  <c r="G129" i="28"/>
  <c r="G130" i="28"/>
  <c r="G131" i="28"/>
  <c r="G132" i="28"/>
  <c r="G133" i="28"/>
  <c r="G134" i="28"/>
  <c r="G135" i="28"/>
  <c r="G136" i="28"/>
  <c r="G137" i="28"/>
  <c r="G138" i="28"/>
  <c r="G139" i="28"/>
  <c r="G140" i="28"/>
  <c r="G141" i="28"/>
  <c r="G142" i="28"/>
  <c r="G143" i="28"/>
  <c r="G144" i="28"/>
  <c r="G145" i="28"/>
  <c r="B16" i="16"/>
  <c r="Q184" i="10"/>
  <c r="M59" i="10" l="1"/>
  <c r="G59" i="10"/>
  <c r="E59" i="10"/>
  <c r="D250" i="28"/>
  <c r="E250" i="28"/>
  <c r="E228" i="28"/>
  <c r="F228" i="28"/>
  <c r="B213" i="28"/>
  <c r="B214" i="28"/>
  <c r="B215" i="28"/>
  <c r="B216" i="28"/>
  <c r="J59" i="10" s="1"/>
  <c r="B217" i="28"/>
  <c r="B218" i="28"/>
  <c r="B219" i="28"/>
  <c r="B220" i="28"/>
  <c r="B221" i="28"/>
  <c r="B222" i="28"/>
  <c r="B223" i="28"/>
  <c r="B224" i="28"/>
  <c r="B225" i="28"/>
  <c r="B226" i="28"/>
  <c r="B227" i="28"/>
  <c r="B212" i="28"/>
  <c r="A214" i="28"/>
  <c r="A215" i="28"/>
  <c r="A216" i="28"/>
  <c r="A217" i="28"/>
  <c r="A218" i="28"/>
  <c r="A219" i="28"/>
  <c r="A220" i="28"/>
  <c r="A221" i="28"/>
  <c r="A222" i="28"/>
  <c r="A223" i="28"/>
  <c r="A224" i="28"/>
  <c r="A225" i="28"/>
  <c r="C225" i="28" s="1"/>
  <c r="D225" i="28" s="1"/>
  <c r="A226" i="28"/>
  <c r="A227" i="28"/>
  <c r="B247" i="28" l="1"/>
  <c r="C247" i="28" s="1"/>
  <c r="B245" i="28"/>
  <c r="C245" i="28" s="1"/>
  <c r="B246" i="28"/>
  <c r="C246" i="28" s="1"/>
  <c r="B242" i="28"/>
  <c r="C226" i="28" l="1"/>
  <c r="D226" i="28" s="1"/>
  <c r="C227" i="28"/>
  <c r="D227" i="28" s="1"/>
  <c r="A213" i="28"/>
  <c r="C220" i="28"/>
  <c r="D220" i="28" s="1"/>
  <c r="C221" i="28"/>
  <c r="D221" i="28" s="1"/>
  <c r="C222" i="28"/>
  <c r="D222" i="28" s="1"/>
  <c r="A212" i="28"/>
  <c r="C223" i="28"/>
  <c r="D223" i="28" s="1"/>
  <c r="C224" i="28"/>
  <c r="D224" i="28" s="1"/>
  <c r="F198" i="27" l="1"/>
  <c r="G198" i="27" s="1"/>
  <c r="F199" i="27"/>
  <c r="G199" i="27" s="1"/>
  <c r="F200" i="27"/>
  <c r="G200" i="27" s="1"/>
  <c r="F201" i="27"/>
  <c r="G201" i="27" s="1"/>
  <c r="F202" i="27"/>
  <c r="G202" i="27" s="1"/>
  <c r="F203" i="27"/>
  <c r="G203" i="27" s="1"/>
  <c r="F204" i="27"/>
  <c r="G204" i="27" s="1"/>
  <c r="F205" i="27"/>
  <c r="G205" i="27" s="1"/>
  <c r="F206" i="27"/>
  <c r="G206" i="27" s="1"/>
  <c r="F197" i="27"/>
  <c r="G197" i="27" s="1"/>
  <c r="A198" i="27"/>
  <c r="A199" i="27"/>
  <c r="A200" i="27"/>
  <c r="A201" i="27"/>
  <c r="A202" i="27"/>
  <c r="A203" i="27"/>
  <c r="A204" i="27"/>
  <c r="A205" i="27"/>
  <c r="A206" i="27"/>
  <c r="A197" i="27"/>
  <c r="F181" i="27"/>
  <c r="G181" i="27" s="1"/>
  <c r="F182" i="27"/>
  <c r="G182" i="27" s="1"/>
  <c r="F183" i="27"/>
  <c r="G183" i="27" s="1"/>
  <c r="F184" i="27"/>
  <c r="G184" i="27" s="1"/>
  <c r="F185" i="27"/>
  <c r="G185" i="27" s="1"/>
  <c r="F186" i="27"/>
  <c r="G186" i="27" s="1"/>
  <c r="F187" i="27"/>
  <c r="G187" i="27" s="1"/>
  <c r="F188" i="27"/>
  <c r="G188" i="27" s="1"/>
  <c r="F189" i="27"/>
  <c r="G189" i="27" s="1"/>
  <c r="F190" i="27"/>
  <c r="G190" i="27" s="1"/>
  <c r="F191" i="27"/>
  <c r="G191" i="27" s="1"/>
  <c r="F192" i="27"/>
  <c r="G192" i="27" s="1"/>
  <c r="F193" i="27"/>
  <c r="G193" i="27" s="1"/>
  <c r="F180" i="27"/>
  <c r="G180" i="27" s="1"/>
  <c r="G194" i="27" s="1"/>
  <c r="A181" i="27"/>
  <c r="A182" i="27"/>
  <c r="A183" i="27"/>
  <c r="A184" i="27"/>
  <c r="A185" i="27"/>
  <c r="A186" i="27"/>
  <c r="A187" i="27"/>
  <c r="A188" i="27"/>
  <c r="A189" i="27"/>
  <c r="A190" i="27"/>
  <c r="A191" i="27"/>
  <c r="A192" i="27"/>
  <c r="A193" i="27"/>
  <c r="A180" i="27"/>
  <c r="D56" i="21"/>
  <c r="A89" i="20"/>
  <c r="J18" i="22"/>
  <c r="G18" i="22"/>
  <c r="K179" i="10"/>
  <c r="K180" i="10"/>
  <c r="K181" i="10"/>
  <c r="K182" i="10"/>
  <c r="K183" i="10"/>
  <c r="K184" i="10"/>
  <c r="K185" i="10"/>
  <c r="K186" i="10"/>
  <c r="K187" i="10"/>
  <c r="K188" i="10"/>
  <c r="K189" i="10"/>
  <c r="K190" i="10"/>
  <c r="K191" i="10"/>
  <c r="K192" i="10"/>
  <c r="K193" i="10"/>
  <c r="K47" i="21"/>
  <c r="G196" i="27" l="1"/>
  <c r="G207" i="27"/>
  <c r="G195" i="27"/>
  <c r="E23" i="18"/>
  <c r="F108" i="22" l="1"/>
  <c r="R62" i="10"/>
  <c r="R61" i="10"/>
  <c r="R60" i="10"/>
  <c r="A148" i="27" l="1"/>
  <c r="A151" i="27"/>
  <c r="A149" i="27"/>
  <c r="F127" i="27"/>
  <c r="W35" i="21"/>
  <c r="W34" i="21"/>
  <c r="W33" i="21"/>
  <c r="W32" i="21"/>
  <c r="I34" i="21"/>
  <c r="I35" i="21"/>
  <c r="I32" i="21"/>
  <c r="E187" i="18"/>
  <c r="AA48" i="21"/>
  <c r="I33" i="21"/>
  <c r="F56" i="22" l="1"/>
  <c r="F54" i="22"/>
  <c r="F58" i="22" s="1"/>
  <c r="G55" i="28"/>
  <c r="G180" i="10"/>
  <c r="G181" i="10"/>
  <c r="G182" i="10"/>
  <c r="G183" i="10"/>
  <c r="G184" i="10"/>
  <c r="G185" i="10"/>
  <c r="G186" i="10"/>
  <c r="G187" i="10"/>
  <c r="G188" i="10"/>
  <c r="G189" i="10"/>
  <c r="G190" i="10"/>
  <c r="G191" i="10"/>
  <c r="G192" i="10"/>
  <c r="G193" i="10"/>
  <c r="G176" i="10"/>
  <c r="K176" i="10" s="1"/>
  <c r="G177" i="10"/>
  <c r="K177" i="10" s="1"/>
  <c r="G178" i="10"/>
  <c r="K178" i="10" s="1"/>
  <c r="G179" i="10"/>
  <c r="G175" i="10"/>
  <c r="G106" i="28"/>
  <c r="C219" i="28" s="1"/>
  <c r="G107" i="28"/>
  <c r="G108" i="28"/>
  <c r="G109" i="28"/>
  <c r="G110" i="28"/>
  <c r="G111" i="28"/>
  <c r="G112" i="28"/>
  <c r="G113" i="28"/>
  <c r="G114" i="28"/>
  <c r="G146" i="28"/>
  <c r="G147" i="28"/>
  <c r="G148" i="28"/>
  <c r="G149" i="28"/>
  <c r="G150" i="28"/>
  <c r="G170" i="28"/>
  <c r="G171" i="28"/>
  <c r="G172" i="28"/>
  <c r="G173" i="28"/>
  <c r="G174" i="28"/>
  <c r="G175" i="28"/>
  <c r="G176" i="28"/>
  <c r="G177" i="28"/>
  <c r="G178" i="28"/>
  <c r="G179" i="28"/>
  <c r="G180" i="28"/>
  <c r="G181" i="28"/>
  <c r="G182" i="28"/>
  <c r="G183" i="28"/>
  <c r="G184" i="28"/>
  <c r="G185" i="28"/>
  <c r="G186" i="28"/>
  <c r="G187" i="28"/>
  <c r="G188" i="28"/>
  <c r="G189" i="28"/>
  <c r="G190" i="28"/>
  <c r="G191" i="28"/>
  <c r="G192" i="28"/>
  <c r="G193" i="28"/>
  <c r="G194" i="28"/>
  <c r="G195" i="28"/>
  <c r="G196" i="28"/>
  <c r="G197" i="28"/>
  <c r="G54" i="28"/>
  <c r="G53" i="28"/>
  <c r="G52" i="28"/>
  <c r="G51" i="28"/>
  <c r="G50" i="28"/>
  <c r="G49" i="28"/>
  <c r="G47" i="28"/>
  <c r="G48" i="28"/>
  <c r="G46" i="28"/>
  <c r="G45" i="28"/>
  <c r="G44" i="28"/>
  <c r="G43" i="28"/>
  <c r="F13" i="21"/>
  <c r="D219" i="28" l="1"/>
  <c r="B248" i="28"/>
  <c r="C248" i="28" s="1"/>
  <c r="B249" i="28"/>
  <c r="C249" i="28" s="1"/>
  <c r="C213" i="28"/>
  <c r="C218" i="28"/>
  <c r="C217" i="28"/>
  <c r="D217" i="28" s="1"/>
  <c r="C216" i="28"/>
  <c r="D216" i="28" s="1"/>
  <c r="J51" i="10" s="1"/>
  <c r="C215" i="28"/>
  <c r="C214" i="28"/>
  <c r="C212" i="28"/>
  <c r="A84" i="20"/>
  <c r="K175" i="10"/>
  <c r="D212" i="28" l="1"/>
  <c r="C228" i="28"/>
  <c r="B244" i="28"/>
  <c r="C244" i="28" s="1"/>
  <c r="D214" i="28"/>
  <c r="B239" i="28"/>
  <c r="D215" i="28"/>
  <c r="B240" i="28"/>
  <c r="C240" i="28" s="1"/>
  <c r="D213" i="28"/>
  <c r="B241" i="28"/>
  <c r="C241" i="28" s="1"/>
  <c r="D218" i="28"/>
  <c r="B243" i="28"/>
  <c r="C243" i="28" s="1"/>
  <c r="G51" i="10" s="1"/>
  <c r="C242" i="28"/>
  <c r="A93" i="20"/>
  <c r="A90" i="20"/>
  <c r="A88" i="20"/>
  <c r="A85" i="20"/>
  <c r="I175" i="10"/>
  <c r="E15" i="20"/>
  <c r="F15" i="20" s="1"/>
  <c r="E7" i="20"/>
  <c r="F7" i="20" s="1"/>
  <c r="V9" i="21"/>
  <c r="V10" i="21"/>
  <c r="V11" i="21"/>
  <c r="V12" i="21"/>
  <c r="V13" i="21"/>
  <c r="V14" i="21"/>
  <c r="V15" i="21"/>
  <c r="V16" i="21"/>
  <c r="V17" i="21"/>
  <c r="V18" i="21"/>
  <c r="V8" i="21"/>
  <c r="I176" i="10"/>
  <c r="B10" i="27"/>
  <c r="B11" i="27"/>
  <c r="B12" i="27"/>
  <c r="B13" i="27"/>
  <c r="B14" i="27"/>
  <c r="B15" i="27"/>
  <c r="B16" i="27"/>
  <c r="B17" i="27"/>
  <c r="B18" i="27"/>
  <c r="B19" i="27"/>
  <c r="B9" i="27"/>
  <c r="I167" i="18"/>
  <c r="I168" i="18"/>
  <c r="I169" i="18"/>
  <c r="I170" i="18"/>
  <c r="I171" i="18"/>
  <c r="I172" i="18"/>
  <c r="I173" i="18"/>
  <c r="I174" i="18"/>
  <c r="I175" i="18"/>
  <c r="I176" i="18"/>
  <c r="I177" i="18"/>
  <c r="I178" i="18"/>
  <c r="I179" i="18"/>
  <c r="I180" i="18"/>
  <c r="I181" i="18"/>
  <c r="I182" i="18"/>
  <c r="I183" i="18"/>
  <c r="I184" i="18"/>
  <c r="I166" i="18"/>
  <c r="B250" i="28" l="1"/>
  <c r="C239" i="28"/>
  <c r="M51" i="10" s="1"/>
  <c r="D228" i="28"/>
  <c r="V19" i="21"/>
  <c r="W19" i="21" s="1"/>
  <c r="E9" i="20" s="1"/>
  <c r="F9" i="20" s="1"/>
  <c r="C250" i="28" l="1"/>
  <c r="R49" i="10"/>
  <c r="M265" i="22"/>
  <c r="M264" i="22"/>
  <c r="M263" i="22"/>
  <c r="M262" i="22"/>
  <c r="M261" i="22"/>
  <c r="M260" i="22"/>
  <c r="M259" i="22"/>
  <c r="M258" i="22"/>
  <c r="M257" i="22"/>
  <c r="M256" i="22"/>
  <c r="M255" i="22"/>
  <c r="M254" i="22"/>
  <c r="M253" i="22"/>
  <c r="M252" i="22"/>
  <c r="J173" i="10" l="1"/>
  <c r="H173" i="10"/>
  <c r="B15" i="16"/>
  <c r="B14" i="16"/>
  <c r="B13" i="16"/>
  <c r="B12" i="16"/>
  <c r="F68" i="22"/>
  <c r="F62" i="22"/>
  <c r="Q183" i="10"/>
  <c r="G218" i="27"/>
  <c r="G220" i="27" s="1"/>
  <c r="F74" i="22" l="1"/>
  <c r="F57" i="22"/>
  <c r="F98" i="22"/>
  <c r="C158" i="27"/>
  <c r="C159" i="27"/>
  <c r="C160" i="27"/>
  <c r="C161" i="27"/>
  <c r="C162" i="27"/>
  <c r="C163" i="27"/>
  <c r="C164" i="27"/>
  <c r="C165" i="27"/>
  <c r="C166" i="27"/>
  <c r="C167" i="27"/>
  <c r="C168" i="27"/>
  <c r="C169" i="27"/>
  <c r="C170" i="27"/>
  <c r="C171" i="27"/>
  <c r="C172" i="27"/>
  <c r="C173" i="27"/>
  <c r="C174" i="27"/>
  <c r="C175" i="27"/>
  <c r="C157" i="27"/>
  <c r="A158" i="27"/>
  <c r="A159" i="27"/>
  <c r="A160" i="27"/>
  <c r="A161" i="27"/>
  <c r="A162" i="27"/>
  <c r="A163" i="27"/>
  <c r="A164" i="27"/>
  <c r="A165" i="27"/>
  <c r="A166" i="27"/>
  <c r="A167" i="27"/>
  <c r="A168" i="27"/>
  <c r="A169" i="27"/>
  <c r="A170" i="27"/>
  <c r="A171" i="27"/>
  <c r="A172" i="27"/>
  <c r="A173" i="27"/>
  <c r="A174" i="27"/>
  <c r="A175" i="27"/>
  <c r="A157" i="27"/>
  <c r="D129" i="27"/>
  <c r="F129" i="27" s="1"/>
  <c r="D130" i="27"/>
  <c r="F130" i="27" s="1"/>
  <c r="D131" i="27"/>
  <c r="F131" i="27" s="1"/>
  <c r="D132" i="27"/>
  <c r="F132" i="27" s="1"/>
  <c r="D133" i="27"/>
  <c r="F133" i="27" s="1"/>
  <c r="D134" i="27"/>
  <c r="F134" i="27" s="1"/>
  <c r="D135" i="27"/>
  <c r="F135" i="27" s="1"/>
  <c r="D136" i="27"/>
  <c r="F136" i="27" s="1"/>
  <c r="D137" i="27"/>
  <c r="F137" i="27" s="1"/>
  <c r="D138" i="27"/>
  <c r="F138" i="27" s="1"/>
  <c r="D139" i="27"/>
  <c r="F139" i="27" s="1"/>
  <c r="D140" i="27"/>
  <c r="F140" i="27" s="1"/>
  <c r="D141" i="27"/>
  <c r="F141" i="27" s="1"/>
  <c r="D142" i="27"/>
  <c r="F142" i="27" s="1"/>
  <c r="D143" i="27"/>
  <c r="F143" i="27" s="1"/>
  <c r="D144" i="27"/>
  <c r="F144" i="27" s="1"/>
  <c r="D145" i="27"/>
  <c r="F145" i="27" s="1"/>
  <c r="D146" i="27"/>
  <c r="F146" i="27" s="1"/>
  <c r="D128" i="27"/>
  <c r="F128" i="27" s="1"/>
  <c r="A129" i="27"/>
  <c r="A130" i="27"/>
  <c r="A131" i="27"/>
  <c r="A132" i="27"/>
  <c r="A133" i="27"/>
  <c r="A134" i="27"/>
  <c r="A135" i="27"/>
  <c r="A136" i="27"/>
  <c r="A137" i="27"/>
  <c r="A138" i="27"/>
  <c r="A139" i="27"/>
  <c r="A140" i="27"/>
  <c r="A141" i="27"/>
  <c r="A142" i="27"/>
  <c r="A143" i="27"/>
  <c r="A144" i="27"/>
  <c r="A145" i="27"/>
  <c r="A146" i="27"/>
  <c r="A128" i="27"/>
  <c r="E27" i="27"/>
  <c r="G27" i="27" s="1"/>
  <c r="E28" i="27"/>
  <c r="G28" i="27" s="1"/>
  <c r="E29" i="27"/>
  <c r="G29" i="27" s="1"/>
  <c r="E30" i="27"/>
  <c r="G30" i="27" s="1"/>
  <c r="E31" i="27"/>
  <c r="G31" i="27" s="1"/>
  <c r="E32" i="27"/>
  <c r="G32" i="27" s="1"/>
  <c r="E33" i="27"/>
  <c r="G33" i="27" s="1"/>
  <c r="E34" i="27"/>
  <c r="G34" i="27" s="1"/>
  <c r="E35" i="27"/>
  <c r="G35" i="27" s="1"/>
  <c r="E36" i="27"/>
  <c r="G36" i="27" s="1"/>
  <c r="E37" i="27"/>
  <c r="G37" i="27" s="1"/>
  <c r="E38" i="27"/>
  <c r="G38" i="27" s="1"/>
  <c r="E39" i="27"/>
  <c r="G39" i="27" s="1"/>
  <c r="E40" i="27"/>
  <c r="G40" i="27" s="1"/>
  <c r="E41" i="27"/>
  <c r="G41" i="27" s="1"/>
  <c r="E42" i="27"/>
  <c r="G42" i="27" s="1"/>
  <c r="E43" i="27"/>
  <c r="G43" i="27" s="1"/>
  <c r="E44" i="27"/>
  <c r="G44" i="27" s="1"/>
  <c r="E26" i="27"/>
  <c r="D27" i="27"/>
  <c r="D28" i="27"/>
  <c r="D29" i="27"/>
  <c r="D30" i="27"/>
  <c r="D31" i="27"/>
  <c r="D32" i="27"/>
  <c r="D33" i="27"/>
  <c r="D34" i="27"/>
  <c r="D35" i="27"/>
  <c r="D36" i="27"/>
  <c r="D37" i="27"/>
  <c r="D38" i="27"/>
  <c r="D39" i="27"/>
  <c r="D40" i="27"/>
  <c r="D41" i="27"/>
  <c r="D42" i="27"/>
  <c r="D43" i="27"/>
  <c r="D44" i="27"/>
  <c r="G26" i="27" l="1"/>
  <c r="G23" i="27"/>
  <c r="G24" i="27" l="1"/>
  <c r="G25" i="27"/>
  <c r="G45" i="27"/>
  <c r="D26" i="27"/>
  <c r="C99" i="27"/>
  <c r="F99" i="27" s="1"/>
  <c r="C100" i="27"/>
  <c r="F100" i="27" s="1"/>
  <c r="C101" i="27"/>
  <c r="F101" i="27" s="1"/>
  <c r="C102" i="27"/>
  <c r="F102" i="27" s="1"/>
  <c r="C103" i="27"/>
  <c r="F103" i="27" s="1"/>
  <c r="C104" i="27"/>
  <c r="F104" i="27" s="1"/>
  <c r="C105" i="27"/>
  <c r="F105" i="27" s="1"/>
  <c r="C106" i="27"/>
  <c r="F106" i="27" s="1"/>
  <c r="C107" i="27"/>
  <c r="F107" i="27" s="1"/>
  <c r="C108" i="27"/>
  <c r="F108" i="27" s="1"/>
  <c r="C109" i="27"/>
  <c r="F109" i="27" s="1"/>
  <c r="C110" i="27"/>
  <c r="F110" i="27" s="1"/>
  <c r="C111" i="27"/>
  <c r="F111" i="27" s="1"/>
  <c r="C112" i="27"/>
  <c r="F112" i="27" s="1"/>
  <c r="C113" i="27"/>
  <c r="F113" i="27" s="1"/>
  <c r="C114" i="27"/>
  <c r="F114" i="27" s="1"/>
  <c r="C115" i="27"/>
  <c r="F115" i="27" s="1"/>
  <c r="C116" i="27"/>
  <c r="F116" i="27" s="1"/>
  <c r="C98" i="27"/>
  <c r="F98" i="27" s="1"/>
  <c r="A99" i="27"/>
  <c r="A100" i="27"/>
  <c r="A101" i="27"/>
  <c r="A102" i="27"/>
  <c r="A103" i="27"/>
  <c r="A104" i="27"/>
  <c r="A105" i="27"/>
  <c r="A106" i="27"/>
  <c r="A107" i="27"/>
  <c r="A108" i="27"/>
  <c r="A109" i="27"/>
  <c r="A110" i="27"/>
  <c r="A111" i="27"/>
  <c r="A112" i="27"/>
  <c r="A113" i="27"/>
  <c r="A114" i="27"/>
  <c r="A115" i="27"/>
  <c r="A116" i="27"/>
  <c r="A98" i="27"/>
  <c r="E73" i="27" l="1"/>
  <c r="F73" i="27"/>
  <c r="G73" i="27" s="1"/>
  <c r="E74" i="27"/>
  <c r="F74" i="27"/>
  <c r="G74" i="27" s="1"/>
  <c r="E75" i="27"/>
  <c r="F75" i="27"/>
  <c r="G75" i="27" s="1"/>
  <c r="E76" i="27"/>
  <c r="F76" i="27"/>
  <c r="G76" i="27" s="1"/>
  <c r="E77" i="27"/>
  <c r="F77" i="27"/>
  <c r="G77" i="27" s="1"/>
  <c r="E78" i="27"/>
  <c r="F78" i="27"/>
  <c r="G78" i="27" s="1"/>
  <c r="E79" i="27"/>
  <c r="F79" i="27"/>
  <c r="G79" i="27" s="1"/>
  <c r="E80" i="27"/>
  <c r="F80" i="27"/>
  <c r="G80" i="27" s="1"/>
  <c r="E81" i="27"/>
  <c r="F81" i="27"/>
  <c r="G81" i="27" s="1"/>
  <c r="E82" i="27"/>
  <c r="F82" i="27"/>
  <c r="G82" i="27" s="1"/>
  <c r="E83" i="27"/>
  <c r="F83" i="27"/>
  <c r="G83" i="27" s="1"/>
  <c r="E84" i="27"/>
  <c r="F84" i="27"/>
  <c r="G84" i="27" s="1"/>
  <c r="E85" i="27"/>
  <c r="F85" i="27"/>
  <c r="G85" i="27" s="1"/>
  <c r="E86" i="27"/>
  <c r="F86" i="27"/>
  <c r="G86" i="27" s="1"/>
  <c r="E87" i="27"/>
  <c r="F87" i="27"/>
  <c r="G87" i="27" s="1"/>
  <c r="E88" i="27"/>
  <c r="F88" i="27"/>
  <c r="G88" i="27" s="1"/>
  <c r="E89" i="27"/>
  <c r="F89" i="27"/>
  <c r="G89" i="27" s="1"/>
  <c r="E90" i="27"/>
  <c r="F90" i="27"/>
  <c r="G90" i="27" s="1"/>
  <c r="A73" i="27"/>
  <c r="A74" i="27"/>
  <c r="A75" i="27"/>
  <c r="A76" i="27"/>
  <c r="A77" i="27"/>
  <c r="A78" i="27"/>
  <c r="A79" i="27"/>
  <c r="A80" i="27"/>
  <c r="A81" i="27"/>
  <c r="A82" i="27"/>
  <c r="A83" i="27"/>
  <c r="A84" i="27"/>
  <c r="A85" i="27"/>
  <c r="A86" i="27"/>
  <c r="A87" i="27"/>
  <c r="A88" i="27"/>
  <c r="A89" i="27"/>
  <c r="A90" i="27"/>
  <c r="A51" i="27"/>
  <c r="E51" i="27"/>
  <c r="F51" i="27"/>
  <c r="G51" i="27" s="1"/>
  <c r="A52" i="27"/>
  <c r="E52" i="27"/>
  <c r="F52" i="27"/>
  <c r="G52" i="27" s="1"/>
  <c r="A53" i="27"/>
  <c r="E53" i="27"/>
  <c r="F53" i="27"/>
  <c r="G53" i="27" s="1"/>
  <c r="A54" i="27"/>
  <c r="E54" i="27"/>
  <c r="F54" i="27"/>
  <c r="G54" i="27" s="1"/>
  <c r="A55" i="27"/>
  <c r="E55" i="27"/>
  <c r="F55" i="27"/>
  <c r="G55" i="27" s="1"/>
  <c r="A56" i="27"/>
  <c r="E56" i="27"/>
  <c r="F56" i="27"/>
  <c r="G56" i="27" s="1"/>
  <c r="A57" i="27"/>
  <c r="E57" i="27"/>
  <c r="F57" i="27"/>
  <c r="G57" i="27" s="1"/>
  <c r="A58" i="27"/>
  <c r="E58" i="27"/>
  <c r="F58" i="27"/>
  <c r="G58" i="27" s="1"/>
  <c r="A59" i="27"/>
  <c r="E59" i="27"/>
  <c r="F59" i="27"/>
  <c r="G59" i="27" s="1"/>
  <c r="A60" i="27"/>
  <c r="E60" i="27"/>
  <c r="F60" i="27"/>
  <c r="G60" i="27" s="1"/>
  <c r="A61" i="27"/>
  <c r="E61" i="27"/>
  <c r="F61" i="27"/>
  <c r="G61" i="27" s="1"/>
  <c r="A62" i="27"/>
  <c r="E62" i="27"/>
  <c r="F62" i="27"/>
  <c r="G62" i="27" s="1"/>
  <c r="A63" i="27"/>
  <c r="E63" i="27"/>
  <c r="F63" i="27"/>
  <c r="G63" i="27" s="1"/>
  <c r="A64" i="27"/>
  <c r="E64" i="27"/>
  <c r="F64" i="27"/>
  <c r="G64" i="27" s="1"/>
  <c r="A65" i="27"/>
  <c r="E65" i="27"/>
  <c r="F65" i="27"/>
  <c r="G65" i="27" s="1"/>
  <c r="A66" i="27"/>
  <c r="E66" i="27"/>
  <c r="F66" i="27"/>
  <c r="G66" i="27" s="1"/>
  <c r="A67" i="27"/>
  <c r="E67" i="27"/>
  <c r="F67" i="27"/>
  <c r="G67" i="27" s="1"/>
  <c r="A44" i="27"/>
  <c r="A27" i="27"/>
  <c r="A28" i="27"/>
  <c r="A29" i="27"/>
  <c r="A30" i="27"/>
  <c r="A31" i="27"/>
  <c r="A32" i="27"/>
  <c r="A33" i="27"/>
  <c r="A34" i="27"/>
  <c r="A35" i="27"/>
  <c r="A36" i="27"/>
  <c r="A37" i="27"/>
  <c r="A38" i="27"/>
  <c r="A39" i="27"/>
  <c r="A40" i="27"/>
  <c r="A41" i="27"/>
  <c r="A42" i="27"/>
  <c r="A43" i="27"/>
  <c r="F72" i="27"/>
  <c r="A72" i="27"/>
  <c r="E72" i="27"/>
  <c r="F50" i="27"/>
  <c r="G50" i="27" s="1"/>
  <c r="F49" i="27"/>
  <c r="E50" i="27"/>
  <c r="E49" i="27"/>
  <c r="A50" i="27"/>
  <c r="A49" i="27"/>
  <c r="A26" i="27"/>
  <c r="C5" i="27"/>
  <c r="G72" i="27" l="1"/>
  <c r="G69" i="27"/>
  <c r="G49" i="27"/>
  <c r="G46" i="27"/>
  <c r="G47" i="27" s="1"/>
  <c r="G21" i="27" l="1"/>
  <c r="G71" i="27"/>
  <c r="G91" i="27"/>
  <c r="G92" i="27" s="1"/>
  <c r="G68" i="27"/>
  <c r="G48" i="27"/>
  <c r="G70" i="27"/>
  <c r="G22" i="27" l="1"/>
  <c r="F99" i="22"/>
  <c r="E219" i="22" l="1"/>
  <c r="E188" i="22"/>
  <c r="G219" i="22" l="1"/>
  <c r="F219" i="22"/>
  <c r="F188" i="22" a="1"/>
  <c r="F188" i="22" s="1"/>
  <c r="H36" i="21"/>
  <c r="G170" i="22" s="1"/>
  <c r="U33" i="21"/>
  <c r="U34" i="21"/>
  <c r="U35" i="21"/>
  <c r="U32" i="21"/>
  <c r="M123" i="22"/>
  <c r="J123" i="22"/>
  <c r="G123" i="22"/>
  <c r="E123" i="22"/>
  <c r="J23" i="22"/>
  <c r="G23" i="22"/>
  <c r="K16" i="22"/>
  <c r="H16" i="22" s="1"/>
  <c r="E56" i="20" l="1"/>
  <c r="E74" i="20" s="1"/>
  <c r="F74" i="20" s="1"/>
  <c r="H39" i="21"/>
  <c r="E12" i="20" s="1"/>
  <c r="F12" i="20" s="1"/>
  <c r="D224" i="22"/>
  <c r="F224" i="22" s="1"/>
  <c r="F91" i="22"/>
  <c r="K201" i="22" s="1"/>
  <c r="E129" i="22"/>
  <c r="G129" i="22" s="1"/>
  <c r="J129" i="22" s="1"/>
  <c r="M129" i="22" s="1"/>
  <c r="C62" i="22"/>
  <c r="C68" i="22" s="1"/>
  <c r="G27" i="22"/>
  <c r="G30" i="22" s="1"/>
  <c r="J27" i="22"/>
  <c r="F96" i="22" s="1"/>
  <c r="E72" i="20" l="1"/>
  <c r="E73" i="20"/>
  <c r="F73" i="20" s="1"/>
  <c r="E69" i="20"/>
  <c r="F69" i="20" s="1"/>
  <c r="J30" i="22"/>
  <c r="E224" i="22"/>
  <c r="C77" i="22"/>
  <c r="B81" i="22"/>
  <c r="G34" i="22"/>
  <c r="G37" i="22" s="1"/>
  <c r="G31" i="22"/>
  <c r="J34" i="22"/>
  <c r="J37" i="22" s="1"/>
  <c r="F77" i="22" l="1"/>
  <c r="C78" i="22"/>
  <c r="F78" i="22" s="1"/>
  <c r="J31" i="22"/>
  <c r="F52" i="22" s="1"/>
  <c r="F84" i="22"/>
  <c r="A96" i="20" l="1"/>
  <c r="F85" i="22"/>
  <c r="F87" i="22" s="1"/>
  <c r="F75" i="22"/>
  <c r="F80" i="22" s="1"/>
  <c r="E102" i="22" s="1"/>
  <c r="F97" i="22"/>
  <c r="F100" i="22" s="1"/>
  <c r="B243" i="22"/>
  <c r="E243" i="22" s="1"/>
  <c r="G243" i="22" s="1"/>
  <c r="H81" i="22" l="1"/>
  <c r="D227" i="22"/>
  <c r="B230" i="22"/>
  <c r="B227" i="22"/>
  <c r="F59" i="18" l="1"/>
  <c r="I40" i="18"/>
  <c r="J40" i="18"/>
  <c r="K40" i="18"/>
  <c r="L40" i="18"/>
  <c r="M40" i="18"/>
  <c r="N40" i="18"/>
  <c r="F58" i="18"/>
  <c r="F60" i="18" s="1"/>
  <c r="C62" i="18" l="1"/>
  <c r="G36" i="21"/>
  <c r="F36" i="21"/>
  <c r="D33" i="21"/>
  <c r="V33" i="21"/>
  <c r="V34" i="21"/>
  <c r="V35" i="21"/>
  <c r="V32" i="21"/>
  <c r="H166" i="18"/>
  <c r="E128" i="27" s="1"/>
  <c r="G128" i="27" s="1"/>
  <c r="G147" i="27" l="1"/>
  <c r="G148" i="27" s="1"/>
  <c r="E19" i="20"/>
  <c r="I36" i="21"/>
  <c r="E37" i="20"/>
  <c r="E41" i="20" s="1"/>
  <c r="F41" i="20" s="1"/>
  <c r="E29" i="10"/>
  <c r="E24" i="18"/>
  <c r="E46" i="18"/>
  <c r="Y35" i="21"/>
  <c r="Y34" i="21"/>
  <c r="Y33" i="21"/>
  <c r="V36" i="21"/>
  <c r="E60" i="10" l="1"/>
  <c r="C47" i="21"/>
  <c r="E43" i="20"/>
  <c r="F43" i="20" s="1"/>
  <c r="E24" i="20"/>
  <c r="F24" i="20" s="1"/>
  <c r="E23" i="20"/>
  <c r="F23" i="20" s="1"/>
  <c r="H41" i="21"/>
  <c r="E13" i="20" s="1"/>
  <c r="F13" i="20" s="1"/>
  <c r="E130" i="22"/>
  <c r="E25" i="18"/>
  <c r="Y36" i="21"/>
  <c r="AA47" i="21" s="1"/>
  <c r="E185" i="18"/>
  <c r="O167" i="18" s="1"/>
  <c r="E51" i="20" s="1"/>
  <c r="F51" i="20" s="1"/>
  <c r="H184" i="18"/>
  <c r="E146" i="27" s="1"/>
  <c r="H183" i="18"/>
  <c r="E145" i="27" s="1"/>
  <c r="H182" i="18"/>
  <c r="E144" i="27" s="1"/>
  <c r="G144" i="27" s="1"/>
  <c r="H181" i="18"/>
  <c r="E143" i="27" s="1"/>
  <c r="G143" i="27" s="1"/>
  <c r="H180" i="18"/>
  <c r="E142" i="27" s="1"/>
  <c r="G142" i="27" s="1"/>
  <c r="H179" i="18"/>
  <c r="E141" i="27" s="1"/>
  <c r="G141" i="27" s="1"/>
  <c r="H178" i="18"/>
  <c r="E140" i="27" s="1"/>
  <c r="G140" i="27" s="1"/>
  <c r="H177" i="18"/>
  <c r="E139" i="27" s="1"/>
  <c r="G139" i="27" s="1"/>
  <c r="H176" i="18"/>
  <c r="E138" i="27" s="1"/>
  <c r="G138" i="27" s="1"/>
  <c r="H175" i="18"/>
  <c r="E137" i="27" s="1"/>
  <c r="G137" i="27" s="1"/>
  <c r="H174" i="18"/>
  <c r="E136" i="27" s="1"/>
  <c r="G136" i="27" s="1"/>
  <c r="H173" i="18"/>
  <c r="E135" i="27" s="1"/>
  <c r="G135" i="27" s="1"/>
  <c r="H172" i="18"/>
  <c r="E134" i="27" s="1"/>
  <c r="G134" i="27" s="1"/>
  <c r="H171" i="18"/>
  <c r="E133" i="27" s="1"/>
  <c r="G133" i="27" s="1"/>
  <c r="H170" i="18"/>
  <c r="E132" i="27" s="1"/>
  <c r="G132" i="27" s="1"/>
  <c r="H169" i="18"/>
  <c r="E131" i="27" s="1"/>
  <c r="G131" i="27" s="1"/>
  <c r="H168" i="18"/>
  <c r="E130" i="27" s="1"/>
  <c r="G130" i="27" s="1"/>
  <c r="H167" i="18"/>
  <c r="E129" i="27" s="1"/>
  <c r="G129" i="27" s="1"/>
  <c r="E154" i="18"/>
  <c r="G136" i="18" s="1"/>
  <c r="E47" i="20" s="1"/>
  <c r="F47" i="20" s="1"/>
  <c r="E96" i="18"/>
  <c r="E85" i="18"/>
  <c r="M71" i="18"/>
  <c r="M70" i="18"/>
  <c r="B46" i="18"/>
  <c r="H40" i="18"/>
  <c r="G40" i="18"/>
  <c r="F40" i="18"/>
  <c r="E40" i="18"/>
  <c r="I177" i="10"/>
  <c r="I178" i="10"/>
  <c r="I179" i="10"/>
  <c r="I180" i="10"/>
  <c r="I181" i="10"/>
  <c r="I182" i="10"/>
  <c r="I183" i="10"/>
  <c r="I184" i="10"/>
  <c r="I185" i="10"/>
  <c r="I186" i="10"/>
  <c r="I187" i="10"/>
  <c r="I188" i="10"/>
  <c r="I189" i="10"/>
  <c r="I190" i="10"/>
  <c r="I191" i="10"/>
  <c r="I192" i="10"/>
  <c r="I193" i="10"/>
  <c r="C27" i="16"/>
  <c r="G130" i="22" l="1"/>
  <c r="J130" i="22" s="1"/>
  <c r="E89" i="22"/>
  <c r="E47" i="18"/>
  <c r="F47" i="18" s="1"/>
  <c r="G47" i="18" s="1"/>
  <c r="H47" i="18" s="1"/>
  <c r="I47" i="18" s="1"/>
  <c r="J47" i="18" s="1"/>
  <c r="K47" i="18" s="1"/>
  <c r="L47" i="18" s="1"/>
  <c r="M47" i="18" s="1"/>
  <c r="N47" i="18" s="1"/>
  <c r="G150" i="27"/>
  <c r="G152" i="27" s="1"/>
  <c r="G146" i="27"/>
  <c r="G149" i="27"/>
  <c r="G151" i="27" s="1"/>
  <c r="G153" i="27" s="1"/>
  <c r="G145" i="27"/>
  <c r="D100" i="27"/>
  <c r="G100" i="27" s="1"/>
  <c r="J177" i="10"/>
  <c r="E100" i="27" s="1"/>
  <c r="D99" i="27"/>
  <c r="G99" i="27" s="1"/>
  <c r="J176" i="10"/>
  <c r="E99" i="27" s="1"/>
  <c r="D110" i="27"/>
  <c r="G110" i="27" s="1"/>
  <c r="J187" i="10"/>
  <c r="E110" i="27" s="1"/>
  <c r="D115" i="27"/>
  <c r="J192" i="10"/>
  <c r="E115" i="27" s="1"/>
  <c r="D106" i="27"/>
  <c r="G106" i="27" s="1"/>
  <c r="J183" i="10"/>
  <c r="E106" i="27" s="1"/>
  <c r="D102" i="27"/>
  <c r="G102" i="27" s="1"/>
  <c r="J179" i="10"/>
  <c r="E102" i="27" s="1"/>
  <c r="D109" i="27"/>
  <c r="G109" i="27" s="1"/>
  <c r="J186" i="10"/>
  <c r="E109" i="27" s="1"/>
  <c r="D108" i="27"/>
  <c r="G108" i="27" s="1"/>
  <c r="J185" i="10"/>
  <c r="E108" i="27" s="1"/>
  <c r="D113" i="27"/>
  <c r="G113" i="27" s="1"/>
  <c r="J190" i="10"/>
  <c r="E113" i="27" s="1"/>
  <c r="D105" i="27"/>
  <c r="G105" i="27" s="1"/>
  <c r="J182" i="10"/>
  <c r="E105" i="27" s="1"/>
  <c r="D107" i="27"/>
  <c r="G107" i="27" s="1"/>
  <c r="J184" i="10"/>
  <c r="E107" i="27" s="1"/>
  <c r="D104" i="27"/>
  <c r="G104" i="27" s="1"/>
  <c r="J181" i="10"/>
  <c r="E104" i="27" s="1"/>
  <c r="D101" i="27"/>
  <c r="G101" i="27" s="1"/>
  <c r="J178" i="10"/>
  <c r="E101" i="27" s="1"/>
  <c r="D116" i="27"/>
  <c r="J193" i="10"/>
  <c r="E116" i="27" s="1"/>
  <c r="D114" i="27"/>
  <c r="G114" i="27" s="1"/>
  <c r="J191" i="10"/>
  <c r="E114" i="27" s="1"/>
  <c r="D112" i="27"/>
  <c r="G112" i="27" s="1"/>
  <c r="J189" i="10"/>
  <c r="E112" i="27" s="1"/>
  <c r="D111" i="27"/>
  <c r="G111" i="27" s="1"/>
  <c r="J188" i="10"/>
  <c r="E111" i="27" s="1"/>
  <c r="D103" i="27"/>
  <c r="G103" i="27" s="1"/>
  <c r="J180" i="10"/>
  <c r="E103" i="27" s="1"/>
  <c r="D98" i="27"/>
  <c r="J175" i="10"/>
  <c r="E98" i="27" s="1"/>
  <c r="G185" i="18" a="1"/>
  <c r="G185" i="18" s="1"/>
  <c r="F154" i="18" a="1"/>
  <c r="F154" i="18" s="1"/>
  <c r="E49" i="20" s="1"/>
  <c r="F49" i="20" s="1"/>
  <c r="E115" i="18"/>
  <c r="M72" i="18"/>
  <c r="E74" i="18" s="1"/>
  <c r="H185" i="18" a="1"/>
  <c r="H185" i="18" s="1"/>
  <c r="F46" i="18"/>
  <c r="G46" i="18" s="1"/>
  <c r="H46" i="18" s="1"/>
  <c r="I46" i="18" s="1"/>
  <c r="J46" i="18" s="1"/>
  <c r="K46" i="18" s="1"/>
  <c r="L46" i="18" s="1"/>
  <c r="M46" i="18" s="1"/>
  <c r="N46" i="18" s="1"/>
  <c r="G115" i="27" l="1"/>
  <c r="G95" i="27"/>
  <c r="G96" i="27" s="1"/>
  <c r="G98" i="27"/>
  <c r="A208" i="27" s="1"/>
  <c r="G116" i="27"/>
  <c r="M130" i="22"/>
  <c r="C15" i="16"/>
  <c r="C14" i="16"/>
  <c r="C13" i="16"/>
  <c r="C16" i="16"/>
  <c r="C17" i="16"/>
  <c r="C12" i="16"/>
  <c r="G97" i="27" l="1"/>
  <c r="M124" i="22"/>
  <c r="M125" i="22" s="1"/>
  <c r="M127" i="22" s="1"/>
  <c r="K41" i="18"/>
  <c r="K42" i="18" s="1"/>
  <c r="K44" i="18" s="1"/>
  <c r="M41" i="18"/>
  <c r="M42" i="18" s="1"/>
  <c r="M44" i="18" s="1"/>
  <c r="G41" i="18"/>
  <c r="G42" i="18" s="1"/>
  <c r="G44" i="18" s="1"/>
  <c r="H41" i="18"/>
  <c r="H42" i="18" s="1"/>
  <c r="H44" i="18" s="1"/>
  <c r="J124" i="22"/>
  <c r="J125" i="22" s="1"/>
  <c r="J127" i="22" s="1"/>
  <c r="L41" i="18"/>
  <c r="L42" i="18" s="1"/>
  <c r="L44" i="18" s="1"/>
  <c r="E41" i="18"/>
  <c r="E42" i="18" s="1"/>
  <c r="E44" i="18" s="1"/>
  <c r="G124" i="22"/>
  <c r="G125" i="22" s="1"/>
  <c r="G127" i="22" s="1"/>
  <c r="F41" i="18"/>
  <c r="F42" i="18" s="1"/>
  <c r="F44" i="18" s="1"/>
  <c r="I41" i="18"/>
  <c r="I42" i="18" s="1"/>
  <c r="I44" i="18" s="1"/>
  <c r="J41" i="18"/>
  <c r="J42" i="18" s="1"/>
  <c r="J44" i="18" s="1"/>
  <c r="E124" i="22"/>
  <c r="E125" i="22" s="1"/>
  <c r="E127" i="22" s="1"/>
  <c r="N41" i="18"/>
  <c r="N42" i="18" s="1"/>
  <c r="N44" i="18" s="1"/>
  <c r="E131" i="22"/>
  <c r="G131" i="22" s="1"/>
  <c r="J131" i="22" s="1"/>
  <c r="E32" i="10"/>
  <c r="G117" i="27"/>
  <c r="G118" i="27" s="1"/>
  <c r="G120" i="27" s="1"/>
  <c r="G122" i="27" s="1"/>
  <c r="E26" i="18"/>
  <c r="F90" i="22"/>
  <c r="F89" i="22" l="1"/>
  <c r="F93" i="22" s="1"/>
  <c r="F102" i="22" s="1"/>
  <c r="G104" i="22" s="1"/>
  <c r="E27" i="18"/>
  <c r="E75" i="18"/>
  <c r="E132" i="22"/>
  <c r="E134" i="22" s="1"/>
  <c r="G132" i="22"/>
  <c r="G134" i="22" s="1"/>
  <c r="H32" i="10"/>
  <c r="E83" i="10"/>
  <c r="G119" i="27"/>
  <c r="G121" i="27" s="1"/>
  <c r="G123" i="27" s="1"/>
  <c r="M131" i="22"/>
  <c r="M132" i="22" s="1"/>
  <c r="M134" i="22" s="1"/>
  <c r="J132" i="22"/>
  <c r="J134" i="22" s="1"/>
  <c r="E48" i="18"/>
  <c r="F48" i="18" s="1"/>
  <c r="G48" i="18" s="1"/>
  <c r="H48" i="18" s="1"/>
  <c r="I48" i="18" s="1"/>
  <c r="J48" i="18" s="1"/>
  <c r="K48" i="18" s="1"/>
  <c r="L48" i="18" s="1"/>
  <c r="M48" i="18" s="1"/>
  <c r="N48" i="18" s="1"/>
  <c r="N49" i="18" s="1"/>
  <c r="E116" i="18" l="1"/>
  <c r="F113" i="18" s="1"/>
  <c r="G77" i="18"/>
  <c r="D229" i="22"/>
  <c r="D230" i="22" s="1"/>
  <c r="G136" i="22"/>
  <c r="E58" i="20" s="1"/>
  <c r="E49" i="18"/>
  <c r="H49" i="18"/>
  <c r="I49" i="18"/>
  <c r="G49" i="18"/>
  <c r="F49" i="18"/>
  <c r="K49" i="18"/>
  <c r="J49" i="18"/>
  <c r="M49" i="18"/>
  <c r="L49" i="18"/>
  <c r="E44" i="20" l="1"/>
  <c r="F44" i="20" s="1"/>
  <c r="E67" i="20"/>
  <c r="E66" i="20"/>
  <c r="F66" i="20" s="1"/>
  <c r="E65" i="20"/>
  <c r="F102" i="18"/>
  <c r="F106" i="18"/>
  <c r="F104" i="18"/>
  <c r="F98" i="18"/>
  <c r="F86" i="18"/>
  <c r="F97" i="18"/>
  <c r="F101" i="18"/>
  <c r="F96" i="18"/>
  <c r="F110" i="18"/>
  <c r="F92" i="18"/>
  <c r="F91" i="18"/>
  <c r="F85" i="18"/>
  <c r="F93" i="18"/>
  <c r="F105" i="18"/>
  <c r="F103" i="18"/>
  <c r="F90" i="18"/>
  <c r="F108" i="18"/>
  <c r="F107" i="18"/>
  <c r="F109" i="18"/>
  <c r="F99" i="18"/>
  <c r="F87" i="18"/>
  <c r="F89" i="18"/>
  <c r="F100" i="18"/>
  <c r="E60" i="20"/>
  <c r="F60" i="20" s="1"/>
  <c r="D233" i="22"/>
  <c r="F233" i="22" s="1"/>
  <c r="G51" i="18"/>
  <c r="E42" i="20" s="1"/>
  <c r="F88" i="18"/>
  <c r="G118" i="18"/>
  <c r="E45" i="20" s="1"/>
  <c r="F45" i="20" s="1"/>
  <c r="E230" i="22"/>
  <c r="F229" i="22"/>
  <c r="M79" i="10"/>
  <c r="M78" i="10"/>
  <c r="F65" i="20" l="1"/>
  <c r="D234" i="22"/>
  <c r="E244" i="22" s="1"/>
  <c r="E245" i="22" s="1"/>
  <c r="E11" i="18"/>
  <c r="E124" i="18" s="1"/>
  <c r="O168" i="18" s="1"/>
  <c r="F42" i="20"/>
  <c r="M80" i="10"/>
  <c r="F236" i="22"/>
  <c r="G171" i="22" s="1"/>
  <c r="I201" i="22" l="1"/>
  <c r="I202" i="22"/>
  <c r="I203" i="22"/>
  <c r="I204" i="22"/>
  <c r="I205" i="22"/>
  <c r="I213" i="22"/>
  <c r="I206" i="22"/>
  <c r="I214" i="22"/>
  <c r="I218" i="22"/>
  <c r="I200" i="22"/>
  <c r="I212" i="22"/>
  <c r="I207" i="22"/>
  <c r="I215" i="22"/>
  <c r="I208" i="22"/>
  <c r="I216" i="22"/>
  <c r="I209" i="22"/>
  <c r="I217" i="22"/>
  <c r="I210" i="22"/>
  <c r="I211" i="22"/>
  <c r="G188" i="22"/>
  <c r="E234" i="22"/>
  <c r="E236" i="22" s="1"/>
  <c r="E52" i="20"/>
  <c r="F52" i="20" s="1"/>
  <c r="G137" i="18"/>
  <c r="E48" i="20" s="1"/>
  <c r="F48" i="20" s="1"/>
  <c r="G219" i="27"/>
  <c r="F244" i="22"/>
  <c r="F245" i="22" s="1"/>
  <c r="E238" i="22" l="1"/>
  <c r="H200" i="22" s="1"/>
  <c r="J200" i="22" s="1"/>
  <c r="F157" i="27" s="1"/>
  <c r="E70" i="20"/>
  <c r="F70" i="20" s="1"/>
  <c r="H204" i="22" l="1"/>
  <c r="J204" i="22" s="1"/>
  <c r="H212" i="22"/>
  <c r="H202" i="22"/>
  <c r="H205" i="22"/>
  <c r="H213" i="22"/>
  <c r="D157" i="27"/>
  <c r="G157" i="27" s="1"/>
  <c r="H208" i="22"/>
  <c r="H217" i="22"/>
  <c r="H211" i="22"/>
  <c r="J211" i="22" s="1"/>
  <c r="H206" i="22"/>
  <c r="H214" i="22"/>
  <c r="J214" i="22" s="1"/>
  <c r="H207" i="22"/>
  <c r="H215" i="22"/>
  <c r="H216" i="22"/>
  <c r="H209" i="22"/>
  <c r="H210" i="22"/>
  <c r="H218" i="22"/>
  <c r="H203" i="22"/>
  <c r="H201" i="22"/>
  <c r="G38" i="10"/>
  <c r="G144" i="10"/>
  <c r="F26" i="27" s="1"/>
  <c r="G145" i="10"/>
  <c r="F27" i="27" s="1"/>
  <c r="G146" i="10"/>
  <c r="F28" i="27" s="1"/>
  <c r="G147" i="10"/>
  <c r="F29" i="27" s="1"/>
  <c r="G148" i="10"/>
  <c r="F30" i="27" s="1"/>
  <c r="G149" i="10"/>
  <c r="F31" i="27" s="1"/>
  <c r="G150" i="10"/>
  <c r="F32" i="27" s="1"/>
  <c r="G151" i="10"/>
  <c r="F33" i="27" s="1"/>
  <c r="G152" i="10"/>
  <c r="F34" i="27" s="1"/>
  <c r="G153" i="10"/>
  <c r="F35" i="27" s="1"/>
  <c r="G154" i="10"/>
  <c r="F36" i="27" s="1"/>
  <c r="G155" i="10"/>
  <c r="F37" i="27" s="1"/>
  <c r="G156" i="10"/>
  <c r="F38" i="27" s="1"/>
  <c r="G157" i="10"/>
  <c r="F39" i="27" s="1"/>
  <c r="G158" i="10"/>
  <c r="F40" i="27" s="1"/>
  <c r="G159" i="10"/>
  <c r="F41" i="27" s="1"/>
  <c r="G160" i="10"/>
  <c r="F42" i="27" s="1"/>
  <c r="G161" i="10"/>
  <c r="F43" i="27" s="1"/>
  <c r="G162" i="10"/>
  <c r="F44" i="27" s="1"/>
  <c r="L239" i="15"/>
  <c r="H230" i="15"/>
  <c r="H231" i="11"/>
  <c r="G176" i="27" l="1"/>
  <c r="G93" i="27"/>
  <c r="G94" i="27" s="1"/>
  <c r="D168" i="27"/>
  <c r="G168" i="27" s="1"/>
  <c r="D161" i="27"/>
  <c r="G161" i="27" s="1"/>
  <c r="D171" i="27"/>
  <c r="G171" i="27" s="1"/>
  <c r="D167" i="27"/>
  <c r="G167" i="27" s="1"/>
  <c r="J210" i="22"/>
  <c r="F167" i="27" s="1"/>
  <c r="D165" i="27"/>
  <c r="G165" i="27" s="1"/>
  <c r="J208" i="22"/>
  <c r="F165" i="27" s="1"/>
  <c r="D162" i="27"/>
  <c r="G162" i="27" s="1"/>
  <c r="J205" i="22"/>
  <c r="F162" i="27" s="1"/>
  <c r="D174" i="27"/>
  <c r="G174" i="27" s="1"/>
  <c r="J217" i="22"/>
  <c r="F174" i="27" s="1"/>
  <c r="D170" i="27"/>
  <c r="G170" i="27" s="1"/>
  <c r="J213" i="22"/>
  <c r="F170" i="27" s="1"/>
  <c r="D159" i="27"/>
  <c r="G159" i="27" s="1"/>
  <c r="J202" i="22"/>
  <c r="F159" i="27" s="1"/>
  <c r="D166" i="27"/>
  <c r="G166" i="27" s="1"/>
  <c r="J209" i="22"/>
  <c r="F166" i="27" s="1"/>
  <c r="D158" i="27"/>
  <c r="G158" i="27" s="1"/>
  <c r="J201" i="22"/>
  <c r="F158" i="27" s="1"/>
  <c r="D169" i="27"/>
  <c r="G169" i="27" s="1"/>
  <c r="J212" i="22"/>
  <c r="F169" i="27" s="1"/>
  <c r="D173" i="27"/>
  <c r="G173" i="27" s="1"/>
  <c r="J216" i="22"/>
  <c r="F173" i="27" s="1"/>
  <c r="D172" i="27"/>
  <c r="G172" i="27" s="1"/>
  <c r="J215" i="22"/>
  <c r="F172" i="27" s="1"/>
  <c r="D164" i="27"/>
  <c r="G164" i="27" s="1"/>
  <c r="J207" i="22"/>
  <c r="F164" i="27" s="1"/>
  <c r="D160" i="27"/>
  <c r="G160" i="27" s="1"/>
  <c r="J203" i="22"/>
  <c r="F160" i="27" s="1"/>
  <c r="D163" i="27"/>
  <c r="G163" i="27" s="1"/>
  <c r="J206" i="22"/>
  <c r="F163" i="27" s="1"/>
  <c r="D175" i="27"/>
  <c r="G175" i="27" s="1"/>
  <c r="J218" i="22"/>
  <c r="F175" i="27" s="1"/>
  <c r="H219" i="22"/>
  <c r="H220" i="22" s="1"/>
  <c r="E157" i="27"/>
  <c r="E172" i="27"/>
  <c r="E166" i="27"/>
  <c r="E161" i="27"/>
  <c r="F161" i="27"/>
  <c r="E162" i="27"/>
  <c r="E159" i="27"/>
  <c r="E174" i="27"/>
  <c r="E171" i="27"/>
  <c r="F171" i="27"/>
  <c r="E163" i="27"/>
  <c r="E160" i="27"/>
  <c r="E175" i="27"/>
  <c r="E164" i="27"/>
  <c r="E158" i="27"/>
  <c r="F168" i="27"/>
  <c r="E168" i="27"/>
  <c r="E170" i="27"/>
  <c r="E173" i="27"/>
  <c r="E165" i="27"/>
  <c r="E167" i="27"/>
  <c r="E169" i="27"/>
  <c r="I219" i="22"/>
  <c r="I220" i="22" s="1"/>
  <c r="J219" i="22" l="1"/>
  <c r="J220" i="22" s="1"/>
  <c r="B60" i="10" l="1"/>
  <c r="E163" i="10"/>
  <c r="H145" i="10" s="1"/>
  <c r="M54" i="10"/>
  <c r="M55" i="10" s="1"/>
  <c r="J54" i="10"/>
  <c r="J55" i="10" s="1"/>
  <c r="G54" i="10"/>
  <c r="G55" i="10" s="1"/>
  <c r="E54" i="10"/>
  <c r="E55" i="10" s="1"/>
  <c r="E194" i="10"/>
  <c r="Q176" i="10" s="1"/>
  <c r="E104" i="10"/>
  <c r="E93" i="10"/>
  <c r="H24" i="10"/>
  <c r="H25" i="10" s="1"/>
  <c r="E24" i="10"/>
  <c r="E25" i="10" s="1"/>
  <c r="E28" i="20" l="1"/>
  <c r="F28" i="20" s="1"/>
  <c r="E32" i="20"/>
  <c r="F32" i="20" s="1"/>
  <c r="H194" i="10" a="1"/>
  <c r="H194" i="10" s="1"/>
  <c r="F163" i="10" a="1"/>
  <c r="F163" i="10" s="1"/>
  <c r="E30" i="20" s="1"/>
  <c r="F30" i="20" s="1"/>
  <c r="E82" i="10"/>
  <c r="G85" i="10" s="1"/>
  <c r="E25" i="20" s="1"/>
  <c r="F25" i="20" s="1"/>
  <c r="M56" i="10"/>
  <c r="M58" i="10" s="1"/>
  <c r="E62" i="10"/>
  <c r="G62" i="10" s="1"/>
  <c r="J62" i="10" s="1"/>
  <c r="M62" i="10" s="1"/>
  <c r="E26" i="10"/>
  <c r="E28" i="10" s="1"/>
  <c r="I194" i="10" a="1"/>
  <c r="I194" i="10" s="1"/>
  <c r="J194" i="10" s="1"/>
  <c r="G56" i="10"/>
  <c r="G58" i="10" s="1"/>
  <c r="H26" i="10"/>
  <c r="H28" i="10" s="1"/>
  <c r="J56" i="10"/>
  <c r="J58" i="10" s="1"/>
  <c r="E56" i="10"/>
  <c r="E58" i="10" s="1"/>
  <c r="E123" i="10"/>
  <c r="E124" i="10" l="1"/>
  <c r="F104" i="10" s="1"/>
  <c r="G60" i="10"/>
  <c r="J60" i="10" s="1"/>
  <c r="M60" i="10" s="1"/>
  <c r="M63" i="10" s="1"/>
  <c r="F95" i="10" l="1"/>
  <c r="F99" i="10"/>
  <c r="F109" i="10"/>
  <c r="F101" i="10"/>
  <c r="F117" i="10"/>
  <c r="F113" i="10"/>
  <c r="F93" i="10"/>
  <c r="F111" i="10"/>
  <c r="G126" i="10"/>
  <c r="E26" i="20" s="1"/>
  <c r="F26" i="20" s="1"/>
  <c r="F115" i="10"/>
  <c r="F121" i="10"/>
  <c r="F114" i="10"/>
  <c r="F107" i="10"/>
  <c r="H29" i="10"/>
  <c r="H33" i="10" s="1"/>
  <c r="F98" i="10"/>
  <c r="F112" i="10"/>
  <c r="F100" i="10"/>
  <c r="F97" i="10"/>
  <c r="F94" i="10"/>
  <c r="F118" i="10"/>
  <c r="F105" i="10"/>
  <c r="F110" i="10"/>
  <c r="F106" i="10"/>
  <c r="F108" i="10"/>
  <c r="F96" i="10"/>
  <c r="F116" i="10"/>
  <c r="G63" i="10"/>
  <c r="J63" i="10"/>
  <c r="E63" i="10"/>
  <c r="G37" i="10" l="1"/>
  <c r="G39" i="10" s="1"/>
  <c r="E33" i="10"/>
  <c r="G65" i="10"/>
  <c r="E11" i="10" l="1"/>
  <c r="E133" i="10" s="1"/>
  <c r="Q177" i="10" s="1"/>
  <c r="E33" i="20" l="1"/>
  <c r="F33" i="20" s="1"/>
  <c r="H146" i="10"/>
  <c r="E29" i="20" l="1"/>
  <c r="F29" i="20" l="1"/>
  <c r="G125" i="27"/>
  <c r="G127" i="27" s="1"/>
  <c r="G154" i="27"/>
  <c r="G155" i="27" s="1"/>
  <c r="G126" i="27" l="1"/>
  <c r="G156" i="27"/>
  <c r="G178" i="27" l="1"/>
  <c r="G177" i="27"/>
  <c r="G179" i="27"/>
</calcChain>
</file>

<file path=xl/sharedStrings.xml><?xml version="1.0" encoding="utf-8"?>
<sst xmlns="http://schemas.openxmlformats.org/spreadsheetml/2006/main" count="4513" uniqueCount="1861">
  <si>
    <t>formulier 1A</t>
  </si>
  <si>
    <t>JA</t>
  </si>
  <si>
    <t>formulier 1B</t>
  </si>
  <si>
    <t>NEEN</t>
  </si>
  <si>
    <t>Algemene richtlijnen</t>
  </si>
  <si>
    <t>Algemeen:</t>
  </si>
  <si>
    <t>Stappen</t>
  </si>
  <si>
    <t>Bepaal voor welke zorgvormen en voor welke aanleidingen u een prijsaanvraag wenst in te dienen</t>
  </si>
  <si>
    <t>De mogelijke aanleidingen zijn:</t>
  </si>
  <si>
    <t>kosteninvoer via:</t>
  </si>
  <si>
    <t>1A indien infrastructuurforfait / 1B indien geen infrastructuurforfait</t>
  </si>
  <si>
    <t>Beperking combinatie zorgvormen:</t>
  </si>
  <si>
    <t>Enkel voor WZC en kortverblijf samen kan 1 excel gebruikt worden.</t>
  </si>
  <si>
    <t>Restrictie combinatie formulieren en aanleidingen binnen formulieren</t>
  </si>
  <si>
    <t xml:space="preserve">Voor dezelfde bewoners kunnen formulieren 1 en 2 niet gecombineerd worden. </t>
  </si>
  <si>
    <t>Fasering:</t>
  </si>
  <si>
    <t>De beslissingsboom ziet er als volgt uit:</t>
  </si>
  <si>
    <t>Marge-evolutie</t>
  </si>
  <si>
    <t>Technische uitwerking: praktische kosteninvoer:</t>
  </si>
  <si>
    <t>wat?</t>
  </si>
  <si>
    <t>link</t>
  </si>
  <si>
    <t>generieke input</t>
  </si>
  <si>
    <t>2) Vul de kosten in de verschillende kostentabbladen in</t>
  </si>
  <si>
    <t>op basis van de gekozen situaties zal u 1 of meerdere kosten-tabbladen dienen in te vullen</t>
  </si>
  <si>
    <t>dit tabblad somt de voorgekomen fouten en vereiste documenten op: pas aan waar nodig</t>
  </si>
  <si>
    <t>controles</t>
  </si>
  <si>
    <t>4) Print het outputtabblad uit en laat dit ondertekenen door de gemachtigden</t>
  </si>
  <si>
    <t>output</t>
  </si>
  <si>
    <t>Dagprijsaanvraag: generieke input</t>
  </si>
  <si>
    <t>1. Datum aanvraag</t>
  </si>
  <si>
    <t>vul hier de datum van aanvraag in</t>
  </si>
  <si>
    <t>2. Identificatie</t>
  </si>
  <si>
    <t>Naam inrichtende macht :</t>
  </si>
  <si>
    <t>in te vullen</t>
  </si>
  <si>
    <t>Rechtsvorm</t>
  </si>
  <si>
    <t>VZW</t>
  </si>
  <si>
    <t>Indien andere rechtsvorm:</t>
  </si>
  <si>
    <t>Adres inrichtende macht:</t>
  </si>
  <si>
    <t>in te vullen: straat met huisnr, postcode met gemeente</t>
  </si>
  <si>
    <t>Naam voorziening:</t>
  </si>
  <si>
    <t>Adres voorziening:</t>
  </si>
  <si>
    <t>Telefoonummer :</t>
  </si>
  <si>
    <t>Email:</t>
  </si>
  <si>
    <t>Ondernemingsnummer (zonder punten en met voorloopnul):</t>
  </si>
  <si>
    <t>Contactpersoon:</t>
  </si>
  <si>
    <t>3. Aanleidingen prijsaanvraag en formulieren en kostentabbladen</t>
  </si>
  <si>
    <t>Capaciteiten voor prijsaanvraag</t>
  </si>
  <si>
    <t>Zorgvorm</t>
  </si>
  <si>
    <t>Capaciteitseenheid</t>
  </si>
  <si>
    <t>Formulier 1: Infrastructuur</t>
  </si>
  <si>
    <t>check</t>
  </si>
  <si>
    <t>A: Met forfait</t>
  </si>
  <si>
    <t>B: Zonder forfait</t>
  </si>
  <si>
    <t>GAW</t>
  </si>
  <si>
    <t>check aanw cap</t>
  </si>
  <si>
    <t>code</t>
  </si>
  <si>
    <t>cap ok?</t>
  </si>
  <si>
    <t>bezettingspercentage</t>
  </si>
  <si>
    <t>WZC</t>
  </si>
  <si>
    <t>bewoners</t>
  </si>
  <si>
    <t>CVK</t>
  </si>
  <si>
    <t>gebruikers</t>
  </si>
  <si>
    <t>totaal:</t>
  </si>
  <si>
    <t>Checks (geen input):</t>
  </si>
  <si>
    <t>Indien keuze voor CDV of GAW, dan wordt dit niet gecombineerd met een andere zorgvorm?</t>
  </si>
  <si>
    <t>3.2 Bezettingsgraad (zoals berekend voor basistegemoetkoming zorg)</t>
  </si>
  <si>
    <t>Bezettingsgraad voor formulieren:</t>
  </si>
  <si>
    <t>4. Jaar aanvangsbevel werken en intrestvoet</t>
  </si>
  <si>
    <t>jaar aanvangsbevel</t>
  </si>
  <si>
    <t>OLO + 200 bp</t>
  </si>
  <si>
    <t>Parameters</t>
  </si>
  <si>
    <t>Toelichting:</t>
  </si>
  <si>
    <t>Keuzes</t>
  </si>
  <si>
    <t>1) OLO</t>
  </si>
  <si>
    <t>Yield of Belgian loans on the secondary market (nbb.be)</t>
  </si>
  <si>
    <t>OLO (min. 1%)</t>
  </si>
  <si>
    <t>OLO+200bp</t>
  </si>
  <si>
    <t>meting</t>
  </si>
  <si>
    <t>niet van toepassing</t>
  </si>
  <si>
    <t>OLO voor aanvangsbevel in  2021 = gemiddelde maand december 2020</t>
  </si>
  <si>
    <t>rechtsvorm:</t>
  </si>
  <si>
    <t>bodembewaking: OLO bedraagt minimaal 1%</t>
  </si>
  <si>
    <t>OCMW</t>
  </si>
  <si>
    <t>AGB</t>
  </si>
  <si>
    <t>BV</t>
  </si>
  <si>
    <t>Commanditaire</t>
  </si>
  <si>
    <t>Natuurlijke persoon</t>
  </si>
  <si>
    <t>NV</t>
  </si>
  <si>
    <t>Provincie</t>
  </si>
  <si>
    <t>beschikbaar op</t>
  </si>
  <si>
    <t>van toepassing op</t>
  </si>
  <si>
    <t>Andere</t>
  </si>
  <si>
    <t>3) forfait</t>
  </si>
  <si>
    <t>cijfer</t>
  </si>
  <si>
    <t>tekst</t>
  </si>
  <si>
    <t>4) gewogen gemiddelde dagprijs private sector</t>
  </si>
  <si>
    <t>berekend op basis van:</t>
  </si>
  <si>
    <t>van toepassing op:</t>
  </si>
  <si>
    <t>5) afgevlakte gezondheidheidsindex</t>
  </si>
  <si>
    <t>december:</t>
  </si>
  <si>
    <t>6) geïndexeerde opstappen</t>
  </si>
  <si>
    <t>Dataset: Long term yield of the reference loans 11am</t>
  </si>
  <si>
    <t>Frequency</t>
  </si>
  <si>
    <t>Daily</t>
  </si>
  <si>
    <t>Country</t>
  </si>
  <si>
    <t>Time</t>
  </si>
  <si>
    <t/>
  </si>
  <si>
    <t>Belgium</t>
  </si>
  <si>
    <t>2020-01-02</t>
  </si>
  <si>
    <t>2020-01-03</t>
  </si>
  <si>
    <t>2020-01-06</t>
  </si>
  <si>
    <t>2020-01-07</t>
  </si>
  <si>
    <t>2020-01-08</t>
  </si>
  <si>
    <t>2020-01-09</t>
  </si>
  <si>
    <t>2020-01-10</t>
  </si>
  <si>
    <t>2020-01-13</t>
  </si>
  <si>
    <t>2020-01-14</t>
  </si>
  <si>
    <t>2020-01-15</t>
  </si>
  <si>
    <t>2020-01-16</t>
  </si>
  <si>
    <t>2020-01-17</t>
  </si>
  <si>
    <t>2020-01-20</t>
  </si>
  <si>
    <t>2020-01-21</t>
  </si>
  <si>
    <t>2020-01-22</t>
  </si>
  <si>
    <t>2020-01-23</t>
  </si>
  <si>
    <t>2020-01-24</t>
  </si>
  <si>
    <t>2020-01-27</t>
  </si>
  <si>
    <t>2020-01-28</t>
  </si>
  <si>
    <t>2020-01-29</t>
  </si>
  <si>
    <t>2020-01-30</t>
  </si>
  <si>
    <t>2020-01-31</t>
  </si>
  <si>
    <t>2020-02-03</t>
  </si>
  <si>
    <t>2020-02-04</t>
  </si>
  <si>
    <t>2020-02-05</t>
  </si>
  <si>
    <t>2020-02-06</t>
  </si>
  <si>
    <t>2020-02-07</t>
  </si>
  <si>
    <t>2020-02-10</t>
  </si>
  <si>
    <t>2020-02-11</t>
  </si>
  <si>
    <t>2020-02-12</t>
  </si>
  <si>
    <t>2020-02-13</t>
  </si>
  <si>
    <t>2020-02-14</t>
  </si>
  <si>
    <t>2020-02-17</t>
  </si>
  <si>
    <t>2020-02-18</t>
  </si>
  <si>
    <t>2020-02-19</t>
  </si>
  <si>
    <t>2020-02-20</t>
  </si>
  <si>
    <t>2020-02-21</t>
  </si>
  <si>
    <t>2020-02-24</t>
  </si>
  <si>
    <t>2020-02-25</t>
  </si>
  <si>
    <t>2020-02-26</t>
  </si>
  <si>
    <t>2020-02-27</t>
  </si>
  <si>
    <t>2020-02-28</t>
  </si>
  <si>
    <t>2020-03-02</t>
  </si>
  <si>
    <t>2020-03-03</t>
  </si>
  <si>
    <t>2020-03-04</t>
  </si>
  <si>
    <t>2020-03-05</t>
  </si>
  <si>
    <t>2020-03-06</t>
  </si>
  <si>
    <t>2020-03-09</t>
  </si>
  <si>
    <t>2020-03-10</t>
  </si>
  <si>
    <t>2020-03-11</t>
  </si>
  <si>
    <t>2020-03-12</t>
  </si>
  <si>
    <t>2020-03-13</t>
  </si>
  <si>
    <t>2020-03-16</t>
  </si>
  <si>
    <t>2020-03-17</t>
  </si>
  <si>
    <t>2020-03-18</t>
  </si>
  <si>
    <t>2020-03-19</t>
  </si>
  <si>
    <t>2020-03-20</t>
  </si>
  <si>
    <t>2020-03-23</t>
  </si>
  <si>
    <t>2020-03-24</t>
  </si>
  <si>
    <t>2020-03-25</t>
  </si>
  <si>
    <t>2020-03-26</t>
  </si>
  <si>
    <t>2020-03-27</t>
  </si>
  <si>
    <t>2020-03-30</t>
  </si>
  <si>
    <t>2020-03-31</t>
  </si>
  <si>
    <t>2020-04-01</t>
  </si>
  <si>
    <t>2020-04-02</t>
  </si>
  <si>
    <t>2020-04-03</t>
  </si>
  <si>
    <t>2020-04-06</t>
  </si>
  <si>
    <t>2020-04-07</t>
  </si>
  <si>
    <t>2020-04-08</t>
  </si>
  <si>
    <t>2020-04-09</t>
  </si>
  <si>
    <t>2020-04-14</t>
  </si>
  <si>
    <t>2020-04-15</t>
  </si>
  <si>
    <t>2020-04-16</t>
  </si>
  <si>
    <t>2020-04-17</t>
  </si>
  <si>
    <t>2020-04-20</t>
  </si>
  <si>
    <t>2020-04-21</t>
  </si>
  <si>
    <t>2020-04-22</t>
  </si>
  <si>
    <t>2020-04-23</t>
  </si>
  <si>
    <t>2020-04-24</t>
  </si>
  <si>
    <t>2020-04-27</t>
  </si>
  <si>
    <t>2020-04-28</t>
  </si>
  <si>
    <t>2020-04-29</t>
  </si>
  <si>
    <t>2020-04-30</t>
  </si>
  <si>
    <t>2020-05-04</t>
  </si>
  <si>
    <t>2020-05-05</t>
  </si>
  <si>
    <t>2020-05-06</t>
  </si>
  <si>
    <t>2020-05-07</t>
  </si>
  <si>
    <t>2020-05-08</t>
  </si>
  <si>
    <t>2020-05-11</t>
  </si>
  <si>
    <t>2020-05-12</t>
  </si>
  <si>
    <t>2020-05-13</t>
  </si>
  <si>
    <t>2020-05-14</t>
  </si>
  <si>
    <t>2020-05-15</t>
  </si>
  <si>
    <t>2020-05-18</t>
  </si>
  <si>
    <t>2020-05-19</t>
  </si>
  <si>
    <t>2020-05-20</t>
  </si>
  <si>
    <t>2020-05-25</t>
  </si>
  <si>
    <t>2020-05-26</t>
  </si>
  <si>
    <t>2020-05-27</t>
  </si>
  <si>
    <t>2020-05-28</t>
  </si>
  <si>
    <t>2020-05-29</t>
  </si>
  <si>
    <t>2020-06-02</t>
  </si>
  <si>
    <t>2020-06-03</t>
  </si>
  <si>
    <t>2020-06-04</t>
  </si>
  <si>
    <t>2020-06-05</t>
  </si>
  <si>
    <t>2020-06-08</t>
  </si>
  <si>
    <t>2020-06-09</t>
  </si>
  <si>
    <t>2020-06-10</t>
  </si>
  <si>
    <t>2020-06-11</t>
  </si>
  <si>
    <t>2020-06-12</t>
  </si>
  <si>
    <t>2020-06-15</t>
  </si>
  <si>
    <t>2020-06-16</t>
  </si>
  <si>
    <t>2020-06-17</t>
  </si>
  <si>
    <t>2020-06-18</t>
  </si>
  <si>
    <t>2020-06-19</t>
  </si>
  <si>
    <t>2020-06-22</t>
  </si>
  <si>
    <t>2020-06-23</t>
  </si>
  <si>
    <t>2020-06-24</t>
  </si>
  <si>
    <t>2020-06-25</t>
  </si>
  <si>
    <t>2020-06-26</t>
  </si>
  <si>
    <t>2020-06-29</t>
  </si>
  <si>
    <t>2020-06-30</t>
  </si>
  <si>
    <t>2020-07-01</t>
  </si>
  <si>
    <t>2020-07-02</t>
  </si>
  <si>
    <t>2020-07-03</t>
  </si>
  <si>
    <t>2020-07-06</t>
  </si>
  <si>
    <t>2020-07-07</t>
  </si>
  <si>
    <t>2020-07-08</t>
  </si>
  <si>
    <t>2020-07-09</t>
  </si>
  <si>
    <t>2020-07-10</t>
  </si>
  <si>
    <t>2020-07-13</t>
  </si>
  <si>
    <t>2020-07-14</t>
  </si>
  <si>
    <t>2020-07-15</t>
  </si>
  <si>
    <t>2020-07-16</t>
  </si>
  <si>
    <t>2020-07-17</t>
  </si>
  <si>
    <t>2020-07-20</t>
  </si>
  <si>
    <t>2020-07-22</t>
  </si>
  <si>
    <t>2020-07-23</t>
  </si>
  <si>
    <t>2020-07-24</t>
  </si>
  <si>
    <t>2020-07-27</t>
  </si>
  <si>
    <t>2020-07-28</t>
  </si>
  <si>
    <t>2020-07-29</t>
  </si>
  <si>
    <t>2020-07-30</t>
  </si>
  <si>
    <t>2020-07-31</t>
  </si>
  <si>
    <t>2020-08-03</t>
  </si>
  <si>
    <t>2020-08-04</t>
  </si>
  <si>
    <t>2020-08-05</t>
  </si>
  <si>
    <t>2020-08-06</t>
  </si>
  <si>
    <t>2020-08-07</t>
  </si>
  <si>
    <t>2020-08-10</t>
  </si>
  <si>
    <t>2020-08-11</t>
  </si>
  <si>
    <t>2020-08-12</t>
  </si>
  <si>
    <t>2020-08-13</t>
  </si>
  <si>
    <t>2020-08-14</t>
  </si>
  <si>
    <t>2020-08-17</t>
  </si>
  <si>
    <t>2020-08-18</t>
  </si>
  <si>
    <t>2020-08-19</t>
  </si>
  <si>
    <t>2020-08-20</t>
  </si>
  <si>
    <t>2020-08-21</t>
  </si>
  <si>
    <t>2020-08-24</t>
  </si>
  <si>
    <t>2020-08-25</t>
  </si>
  <si>
    <t>2020-08-26</t>
  </si>
  <si>
    <t>2020-08-27</t>
  </si>
  <si>
    <t>2020-08-28</t>
  </si>
  <si>
    <t>2020-08-31</t>
  </si>
  <si>
    <t>2020-09-01</t>
  </si>
  <si>
    <t>2020-09-02</t>
  </si>
  <si>
    <t>2020-09-03</t>
  </si>
  <si>
    <t>2020-09-04</t>
  </si>
  <si>
    <t>2020-09-07</t>
  </si>
  <si>
    <t>2020-09-08</t>
  </si>
  <si>
    <t>2020-09-09</t>
  </si>
  <si>
    <t>2020-09-10</t>
  </si>
  <si>
    <t>2020-09-11</t>
  </si>
  <si>
    <t>2020-09-14</t>
  </si>
  <si>
    <t>2020-09-15</t>
  </si>
  <si>
    <t>2020-09-16</t>
  </si>
  <si>
    <t>2020-09-17</t>
  </si>
  <si>
    <t>2020-09-18</t>
  </si>
  <si>
    <t>2020-09-21</t>
  </si>
  <si>
    <t>2020-09-22</t>
  </si>
  <si>
    <t>2020-09-23</t>
  </si>
  <si>
    <t>2020-09-24</t>
  </si>
  <si>
    <t>2020-09-25</t>
  </si>
  <si>
    <t>2020-09-28</t>
  </si>
  <si>
    <t>2020-09-29</t>
  </si>
  <si>
    <t>2020-09-30</t>
  </si>
  <si>
    <t>2020-10-01</t>
  </si>
  <si>
    <t>2020-10-02</t>
  </si>
  <si>
    <t>2020-10-05</t>
  </si>
  <si>
    <t>2020-10-06</t>
  </si>
  <si>
    <t>2020-10-07</t>
  </si>
  <si>
    <t>2020-10-08</t>
  </si>
  <si>
    <t>2020-10-09</t>
  </si>
  <si>
    <t>2020-10-12</t>
  </si>
  <si>
    <t>2020-10-13</t>
  </si>
  <si>
    <t>2020-10-14</t>
  </si>
  <si>
    <t>2020-10-15</t>
  </si>
  <si>
    <t>2020-10-16</t>
  </si>
  <si>
    <t>2020-10-19</t>
  </si>
  <si>
    <t>2020-10-20</t>
  </si>
  <si>
    <t>2020-10-21</t>
  </si>
  <si>
    <t>2020-10-22</t>
  </si>
  <si>
    <t>2020-10-23</t>
  </si>
  <si>
    <t>2020-10-26</t>
  </si>
  <si>
    <t>2020-10-27</t>
  </si>
  <si>
    <t>2020-10-28</t>
  </si>
  <si>
    <t>2020-10-29</t>
  </si>
  <si>
    <t>2020-10-30</t>
  </si>
  <si>
    <t>2020-11-02</t>
  </si>
  <si>
    <t>2020-11-03</t>
  </si>
  <si>
    <t>2020-11-04</t>
  </si>
  <si>
    <t>2020-11-05</t>
  </si>
  <si>
    <t>2020-11-06</t>
  </si>
  <si>
    <t>2020-11-09</t>
  </si>
  <si>
    <t>2020-11-10</t>
  </si>
  <si>
    <t>2020-11-12</t>
  </si>
  <si>
    <t>2020-11-13</t>
  </si>
  <si>
    <t>2020-11-16</t>
  </si>
  <si>
    <t>2020-11-17</t>
  </si>
  <si>
    <t>2020-11-18</t>
  </si>
  <si>
    <t>2020-11-19</t>
  </si>
  <si>
    <t>2020-11-20</t>
  </si>
  <si>
    <t>2020-11-23</t>
  </si>
  <si>
    <t>2020-11-24</t>
  </si>
  <si>
    <t>2020-11-25</t>
  </si>
  <si>
    <t>2020-11-26</t>
  </si>
  <si>
    <t>2020-11-27</t>
  </si>
  <si>
    <t>2020-11-30</t>
  </si>
  <si>
    <t>2020-12-01</t>
  </si>
  <si>
    <t>2020-12-02</t>
  </si>
  <si>
    <t>2020-12-03</t>
  </si>
  <si>
    <t>2020-12-04</t>
  </si>
  <si>
    <t>2020-12-07</t>
  </si>
  <si>
    <t>2020-12-08</t>
  </si>
  <si>
    <t>2020-12-09</t>
  </si>
  <si>
    <t>2020-12-10</t>
  </si>
  <si>
    <t>2020-12-11</t>
  </si>
  <si>
    <t>2020-12-14</t>
  </si>
  <si>
    <t>2020-12-15</t>
  </si>
  <si>
    <t>2020-12-16</t>
  </si>
  <si>
    <t>2020-12-17</t>
  </si>
  <si>
    <t>2020-12-18</t>
  </si>
  <si>
    <t>2020-12-21</t>
  </si>
  <si>
    <t>2020-12-22</t>
  </si>
  <si>
    <t>2020-12-23</t>
  </si>
  <si>
    <t>2020-12-24</t>
  </si>
  <si>
    <t>2020-12-28</t>
  </si>
  <si>
    <t>2020-12-29</t>
  </si>
  <si>
    <t>2020-12-30</t>
  </si>
  <si>
    <t>2020-12-31</t>
  </si>
  <si>
    <t>2021-01-04</t>
  </si>
  <si>
    <t>2021-01-05</t>
  </si>
  <si>
    <t>2021-01-06</t>
  </si>
  <si>
    <t>2021-01-07</t>
  </si>
  <si>
    <t>2021-01-08</t>
  </si>
  <si>
    <t>2021-01-11</t>
  </si>
  <si>
    <t>2021-01-12</t>
  </si>
  <si>
    <t>2021-01-13</t>
  </si>
  <si>
    <t>2021-01-14</t>
  </si>
  <si>
    <t>2021-01-15</t>
  </si>
  <si>
    <t>2021-01-18</t>
  </si>
  <si>
    <t>2021-01-19</t>
  </si>
  <si>
    <t>2021-01-20</t>
  </si>
  <si>
    <t>2021-01-21</t>
  </si>
  <si>
    <t>2021-01-22</t>
  </si>
  <si>
    <t>2021-01-25</t>
  </si>
  <si>
    <t>2021-01-26</t>
  </si>
  <si>
    <t>2021-01-27</t>
  </si>
  <si>
    <t>2021-01-28</t>
  </si>
  <si>
    <t>2021-01-29</t>
  </si>
  <si>
    <t>2021-02-01</t>
  </si>
  <si>
    <t>2021-02-02</t>
  </si>
  <si>
    <t>2021-02-03</t>
  </si>
  <si>
    <t>2021-02-04</t>
  </si>
  <si>
    <t>2021-02-05</t>
  </si>
  <si>
    <t>2021-02-08</t>
  </si>
  <si>
    <t>2021-02-09</t>
  </si>
  <si>
    <t>2021-02-10</t>
  </si>
  <si>
    <t>2021-02-11</t>
  </si>
  <si>
    <t>2021-02-12</t>
  </si>
  <si>
    <t>2021-02-15</t>
  </si>
  <si>
    <t>2021-02-16</t>
  </si>
  <si>
    <t>2021-02-17</t>
  </si>
  <si>
    <t>2021-02-18</t>
  </si>
  <si>
    <t>2021-02-19</t>
  </si>
  <si>
    <t>2021-02-22</t>
  </si>
  <si>
    <t>2021-02-23</t>
  </si>
  <si>
    <t>2021-02-24</t>
  </si>
  <si>
    <t>2021-02-25</t>
  </si>
  <si>
    <t>2021-02-26</t>
  </si>
  <si>
    <t>2021-03-01</t>
  </si>
  <si>
    <t>2021-03-02</t>
  </si>
  <si>
    <t>2021-03-03</t>
  </si>
  <si>
    <t>2021-03-04</t>
  </si>
  <si>
    <t>2021-03-05</t>
  </si>
  <si>
    <t>2021-03-08</t>
  </si>
  <si>
    <t>2021-03-09</t>
  </si>
  <si>
    <t>2021-03-10</t>
  </si>
  <si>
    <t>2021-03-11</t>
  </si>
  <si>
    <t>2021-03-12</t>
  </si>
  <si>
    <t>2021-03-15</t>
  </si>
  <si>
    <t>2021-03-16</t>
  </si>
  <si>
    <t>2021-03-17</t>
  </si>
  <si>
    <t>2021-03-18</t>
  </si>
  <si>
    <t>2021-03-19</t>
  </si>
  <si>
    <t>2021-03-22</t>
  </si>
  <si>
    <t>2021-03-23</t>
  </si>
  <si>
    <t>2021-03-24</t>
  </si>
  <si>
    <t>2021-03-25</t>
  </si>
  <si>
    <t>2021-03-26</t>
  </si>
  <si>
    <t>2021-03-29</t>
  </si>
  <si>
    <t>2021-03-30</t>
  </si>
  <si>
    <t>2021-03-31</t>
  </si>
  <si>
    <t>2021-04-01</t>
  </si>
  <si>
    <t>2021-04-06</t>
  </si>
  <si>
    <t>2021-04-07</t>
  </si>
  <si>
    <t>2021-04-08</t>
  </si>
  <si>
    <t>2021-04-09</t>
  </si>
  <si>
    <t>2021-04-12</t>
  </si>
  <si>
    <t>2021-04-13</t>
  </si>
  <si>
    <t>2021-04-14</t>
  </si>
  <si>
    <t>2021-04-15</t>
  </si>
  <si>
    <t>2021-04-16</t>
  </si>
  <si>
    <t>2021-04-19</t>
  </si>
  <si>
    <t>2021-04-20</t>
  </si>
  <si>
    <t>2021-04-21</t>
  </si>
  <si>
    <t>2021-04-22</t>
  </si>
  <si>
    <t>2021-04-23</t>
  </si>
  <si>
    <t>2021-04-26</t>
  </si>
  <si>
    <t>2021-04-27</t>
  </si>
  <si>
    <t>2021-04-28</t>
  </si>
  <si>
    <t>2021-04-29</t>
  </si>
  <si>
    <t>2021-04-30</t>
  </si>
  <si>
    <t>2021-05-03</t>
  </si>
  <si>
    <t>2021-05-04</t>
  </si>
  <si>
    <t>2021-05-05</t>
  </si>
  <si>
    <t>2021-05-06</t>
  </si>
  <si>
    <t>2021-05-07</t>
  </si>
  <si>
    <t>2021-05-10</t>
  </si>
  <si>
    <t>2021-05-11</t>
  </si>
  <si>
    <t>2021-05-12</t>
  </si>
  <si>
    <t>2021-05-17</t>
  </si>
  <si>
    <t>2021-05-18</t>
  </si>
  <si>
    <t>2021-05-19</t>
  </si>
  <si>
    <t>2021-05-20</t>
  </si>
  <si>
    <t>2021-05-21</t>
  </si>
  <si>
    <t>2021-05-25</t>
  </si>
  <si>
    <t>2021-05-26</t>
  </si>
  <si>
    <t>2021-05-27</t>
  </si>
  <si>
    <t>2021-05-28</t>
  </si>
  <si>
    <t>2021-05-31</t>
  </si>
  <si>
    <t>2021-06-01</t>
  </si>
  <si>
    <t>2021-06-02</t>
  </si>
  <si>
    <t>2021-06-03</t>
  </si>
  <si>
    <t>2021-06-04</t>
  </si>
  <si>
    <t>2021-06-07</t>
  </si>
  <si>
    <t>2021-06-08</t>
  </si>
  <si>
    <t>2021-06-09</t>
  </si>
  <si>
    <t>2021-06-10</t>
  </si>
  <si>
    <t>2021-06-11</t>
  </si>
  <si>
    <t>2021-06-14</t>
  </si>
  <si>
    <t>2021-06-15</t>
  </si>
  <si>
    <t>2021-06-16</t>
  </si>
  <si>
    <t>2021-06-17</t>
  </si>
  <si>
    <t>2021-06-18</t>
  </si>
  <si>
    <t>2021-06-21</t>
  </si>
  <si>
    <t>2021-06-22</t>
  </si>
  <si>
    <t>2021-06-23</t>
  </si>
  <si>
    <t>2021-06-24</t>
  </si>
  <si>
    <t>2021-06-25</t>
  </si>
  <si>
    <t>2021-06-28</t>
  </si>
  <si>
    <t>2021-06-29</t>
  </si>
  <si>
    <t>2021-06-30</t>
  </si>
  <si>
    <t>2021-07-01</t>
  </si>
  <si>
    <t>2021-07-02</t>
  </si>
  <si>
    <t>2021-07-05</t>
  </si>
  <si>
    <t>2021-07-06</t>
  </si>
  <si>
    <t>2021-07-07</t>
  </si>
  <si>
    <t>2021-07-08</t>
  </si>
  <si>
    <t>2021-07-09</t>
  </si>
  <si>
    <t>2021-07-12</t>
  </si>
  <si>
    <t>2021-07-13</t>
  </si>
  <si>
    <t>2021-07-14</t>
  </si>
  <si>
    <t>2021-07-15</t>
  </si>
  <si>
    <t>2021-07-16</t>
  </si>
  <si>
    <t>2021-07-19</t>
  </si>
  <si>
    <t>2021-07-20</t>
  </si>
  <si>
    <t>2021-07-22</t>
  </si>
  <si>
    <t>2021-07-23</t>
  </si>
  <si>
    <t>2021-07-26</t>
  </si>
  <si>
    <t>2021-07-27</t>
  </si>
  <si>
    <t>2021-07-28</t>
  </si>
  <si>
    <t>2021-07-29</t>
  </si>
  <si>
    <t>2021-07-30</t>
  </si>
  <si>
    <t>2021-08-02</t>
  </si>
  <si>
    <t>2021-08-03</t>
  </si>
  <si>
    <t>2021-08-04</t>
  </si>
  <si>
    <t>2021-08-05</t>
  </si>
  <si>
    <t>2021-08-06</t>
  </si>
  <si>
    <t>2021-08-09</t>
  </si>
  <si>
    <t>2021-08-10</t>
  </si>
  <si>
    <t>2021-08-11</t>
  </si>
  <si>
    <t>2021-08-12</t>
  </si>
  <si>
    <t>2021-08-13</t>
  </si>
  <si>
    <t>2021-08-16</t>
  </si>
  <si>
    <t>2021-08-17</t>
  </si>
  <si>
    <t>2021-08-18</t>
  </si>
  <si>
    <t>2021-08-19</t>
  </si>
  <si>
    <t>2021-08-20</t>
  </si>
  <si>
    <t>2021-08-23</t>
  </si>
  <si>
    <t>2021-08-24</t>
  </si>
  <si>
    <t>2021-08-25</t>
  </si>
  <si>
    <t>2021-08-26</t>
  </si>
  <si>
    <t>2021-08-27</t>
  </si>
  <si>
    <t>2021-08-30</t>
  </si>
  <si>
    <t>2021-08-31</t>
  </si>
  <si>
    <t>2021-09-01</t>
  </si>
  <si>
    <t>2021-09-02</t>
  </si>
  <si>
    <t>2021-09-03</t>
  </si>
  <si>
    <t>2021-09-06</t>
  </si>
  <si>
    <t>2021-09-07</t>
  </si>
  <si>
    <t>2021-09-08</t>
  </si>
  <si>
    <t>2021-09-09</t>
  </si>
  <si>
    <t>2021-09-10</t>
  </si>
  <si>
    <t>2021-09-13</t>
  </si>
  <si>
    <t>2021-09-14</t>
  </si>
  <si>
    <t>2021-09-15</t>
  </si>
  <si>
    <t>2021-09-16</t>
  </si>
  <si>
    <t>2021-09-17</t>
  </si>
  <si>
    <t>2021-09-20</t>
  </si>
  <si>
    <t>2021-09-21</t>
  </si>
  <si>
    <t>2021-09-22</t>
  </si>
  <si>
    <t>2021-09-23</t>
  </si>
  <si>
    <t>2021-09-24</t>
  </si>
  <si>
    <t>2021-09-27</t>
  </si>
  <si>
    <t>2021-09-28</t>
  </si>
  <si>
    <t>2021-09-29</t>
  </si>
  <si>
    <t>2021-09-30</t>
  </si>
  <si>
    <t>2021-10-01</t>
  </si>
  <si>
    <t>2021-10-04</t>
  </si>
  <si>
    <t>2021-10-05</t>
  </si>
  <si>
    <t>2021-10-06</t>
  </si>
  <si>
    <t>2021-10-07</t>
  </si>
  <si>
    <t>2021-10-08</t>
  </si>
  <si>
    <t>2021-10-11</t>
  </si>
  <si>
    <t>2021-10-12</t>
  </si>
  <si>
    <t>2021-10-13</t>
  </si>
  <si>
    <t>2021-10-14</t>
  </si>
  <si>
    <t>2021-10-15</t>
  </si>
  <si>
    <t>2021-10-18</t>
  </si>
  <si>
    <t>2021-10-19</t>
  </si>
  <si>
    <t>2021-10-20</t>
  </si>
  <si>
    <t>2021-10-21</t>
  </si>
  <si>
    <t>2021-10-22</t>
  </si>
  <si>
    <t>2021-10-25</t>
  </si>
  <si>
    <t>2021-10-26</t>
  </si>
  <si>
    <t>2021-10-27</t>
  </si>
  <si>
    <t>2021-10-28</t>
  </si>
  <si>
    <t>2021-10-29</t>
  </si>
  <si>
    <t>2021-11-02</t>
  </si>
  <si>
    <t>2021-11-03</t>
  </si>
  <si>
    <t>2021-11-04</t>
  </si>
  <si>
    <t>2021-11-05</t>
  </si>
  <si>
    <t>2021-11-08</t>
  </si>
  <si>
    <t>2021-11-09</t>
  </si>
  <si>
    <t>2021-11-10</t>
  </si>
  <si>
    <t>2021-11-12</t>
  </si>
  <si>
    <t>2021-11-15</t>
  </si>
  <si>
    <t>2021-11-16</t>
  </si>
  <si>
    <t>2021-11-17</t>
  </si>
  <si>
    <t>2021-11-18</t>
  </si>
  <si>
    <t>2021-11-19</t>
  </si>
  <si>
    <t>2021-11-22</t>
  </si>
  <si>
    <t>2021-11-23</t>
  </si>
  <si>
    <t>2021-11-24</t>
  </si>
  <si>
    <t>2021-11-25</t>
  </si>
  <si>
    <t>2021-11-26</t>
  </si>
  <si>
    <t>2021-11-29</t>
  </si>
  <si>
    <t>2021-11-30</t>
  </si>
  <si>
    <t>2021-12-01</t>
  </si>
  <si>
    <t>2021-12-02</t>
  </si>
  <si>
    <t>2021-12-03</t>
  </si>
  <si>
    <t>2021-12-06</t>
  </si>
  <si>
    <t>2021-12-07</t>
  </si>
  <si>
    <t>2021-12-08</t>
  </si>
  <si>
    <t>2021-12-09</t>
  </si>
  <si>
    <t>2021-12-10</t>
  </si>
  <si>
    <t>2021-12-13</t>
  </si>
  <si>
    <t>2021-12-14</t>
  </si>
  <si>
    <t>2021-12-15</t>
  </si>
  <si>
    <t>2021-12-16</t>
  </si>
  <si>
    <t>2021-12-17</t>
  </si>
  <si>
    <t>2021-12-20</t>
  </si>
  <si>
    <t>2021-12-21</t>
  </si>
  <si>
    <t>2021-12-22</t>
  </si>
  <si>
    <t>2021-12-23</t>
  </si>
  <si>
    <t>2021-12-24</t>
  </si>
  <si>
    <t>2021-12-27</t>
  </si>
  <si>
    <t>2021-12-28</t>
  </si>
  <si>
    <t>2021-12-29</t>
  </si>
  <si>
    <t>2021-12-30</t>
  </si>
  <si>
    <t>2021-12-31</t>
  </si>
  <si>
    <t>2022-01-03</t>
  </si>
  <si>
    <t>2022-01-04</t>
  </si>
  <si>
    <t>2022-01-05</t>
  </si>
  <si>
    <t>2022-01-06</t>
  </si>
  <si>
    <t>2022-01-07</t>
  </si>
  <si>
    <t>2022-01-10</t>
  </si>
  <si>
    <t>2022-01-11</t>
  </si>
  <si>
    <t>2022-01-12</t>
  </si>
  <si>
    <t>2022-01-13</t>
  </si>
  <si>
    <t>2022-01-14</t>
  </si>
  <si>
    <t>2022-01-17</t>
  </si>
  <si>
    <t>2022-01-18</t>
  </si>
  <si>
    <t>2022-01-19</t>
  </si>
  <si>
    <t>2022-01-20</t>
  </si>
  <si>
    <t>2022-01-21</t>
  </si>
  <si>
    <t>2022-01-24</t>
  </si>
  <si>
    <t>2022-01-25</t>
  </si>
  <si>
    <t>2022-01-26</t>
  </si>
  <si>
    <t>2022-01-27</t>
  </si>
  <si>
    <t>2022-01-28</t>
  </si>
  <si>
    <t>2022-01-31</t>
  </si>
  <si>
    <t>2022-02-01</t>
  </si>
  <si>
    <t>2022-02-02</t>
  </si>
  <si>
    <t>2022-02-03</t>
  </si>
  <si>
    <t>2022-02-04</t>
  </si>
  <si>
    <t>2022-02-07</t>
  </si>
  <si>
    <t>2022-02-08</t>
  </si>
  <si>
    <t>2022-02-09</t>
  </si>
  <si>
    <t>2022-02-10</t>
  </si>
  <si>
    <t>2022-02-11</t>
  </si>
  <si>
    <t>2022-02-14</t>
  </si>
  <si>
    <t>2022-02-15</t>
  </si>
  <si>
    <t>2022-02-16</t>
  </si>
  <si>
    <t>2022-02-17</t>
  </si>
  <si>
    <t>2022-02-18</t>
  </si>
  <si>
    <t>2022-02-21</t>
  </si>
  <si>
    <t>2022-02-22</t>
  </si>
  <si>
    <t>2022-02-23</t>
  </si>
  <si>
    <t>2022-02-24</t>
  </si>
  <si>
    <t>2022-02-25</t>
  </si>
  <si>
    <t>2022-02-28</t>
  </si>
  <si>
    <t>2022-03-01</t>
  </si>
  <si>
    <t>2022-03-02</t>
  </si>
  <si>
    <t>2022-03-03</t>
  </si>
  <si>
    <t>2022-03-04</t>
  </si>
  <si>
    <t>2022-03-07</t>
  </si>
  <si>
    <t>2022-03-08</t>
  </si>
  <si>
    <t>2022-03-09</t>
  </si>
  <si>
    <t>2022-03-10</t>
  </si>
  <si>
    <t>2022-03-11</t>
  </si>
  <si>
    <t>2022-03-14</t>
  </si>
  <si>
    <t>2022-03-15</t>
  </si>
  <si>
    <t>2022-03-16</t>
  </si>
  <si>
    <t>2022-03-17</t>
  </si>
  <si>
    <t>2022-03-18</t>
  </si>
  <si>
    <t>2022-03-21</t>
  </si>
  <si>
    <t>2022-03-22</t>
  </si>
  <si>
    <t>2022-03-23</t>
  </si>
  <si>
    <t>2022-03-24</t>
  </si>
  <si>
    <t>2022-03-25</t>
  </si>
  <si>
    <t>2022-03-28</t>
  </si>
  <si>
    <t>2022-03-29</t>
  </si>
  <si>
    <t>2022-03-30</t>
  </si>
  <si>
    <t>2022-03-31</t>
  </si>
  <si>
    <t>2022-04-01</t>
  </si>
  <si>
    <t>2022-04-04</t>
  </si>
  <si>
    <t>2022-04-05</t>
  </si>
  <si>
    <t>2022-04-06</t>
  </si>
  <si>
    <t>2022-04-07</t>
  </si>
  <si>
    <t>2022-04-08</t>
  </si>
  <si>
    <t>2022-04-11</t>
  </si>
  <si>
    <t>2022-04-12</t>
  </si>
  <si>
    <t>2022-04-13</t>
  </si>
  <si>
    <t>2022-04-14</t>
  </si>
  <si>
    <t>2022-04-19</t>
  </si>
  <si>
    <t>2022-04-20</t>
  </si>
  <si>
    <t>2022-04-21</t>
  </si>
  <si>
    <t>2022-04-22</t>
  </si>
  <si>
    <t>2022-04-25</t>
  </si>
  <si>
    <t>2022-04-26</t>
  </si>
  <si>
    <t>2022-04-27</t>
  </si>
  <si>
    <t>2022-04-28</t>
  </si>
  <si>
    <t>2022-04-29</t>
  </si>
  <si>
    <t>2022-05-02</t>
  </si>
  <si>
    <t>2022-05-03</t>
  </si>
  <si>
    <t>2022-05-04</t>
  </si>
  <si>
    <t>2022-05-05</t>
  </si>
  <si>
    <t>2022-05-06</t>
  </si>
  <si>
    <t>2022-05-09</t>
  </si>
  <si>
    <t>2022-05-10</t>
  </si>
  <si>
    <t>2022-05-11</t>
  </si>
  <si>
    <t>2022-05-12</t>
  </si>
  <si>
    <t>2022-05-13</t>
  </si>
  <si>
    <t>2022-05-16</t>
  </si>
  <si>
    <t>2022-05-17</t>
  </si>
  <si>
    <t>2022-05-18</t>
  </si>
  <si>
    <t>2022-05-19</t>
  </si>
  <si>
    <t>2022-05-20</t>
  </si>
  <si>
    <t>2022-05-23</t>
  </si>
  <si>
    <t>2022-05-24</t>
  </si>
  <si>
    <t>2022-05-25</t>
  </si>
  <si>
    <t>2022-05-30</t>
  </si>
  <si>
    <t>2022-05-31</t>
  </si>
  <si>
    <t>2022-06-01</t>
  </si>
  <si>
    <t>2022-06-02</t>
  </si>
  <si>
    <t>2022-06-03</t>
  </si>
  <si>
    <t>2022-06-07</t>
  </si>
  <si>
    <t>2022-06-08</t>
  </si>
  <si>
    <t>2022-06-09</t>
  </si>
  <si>
    <t>2022-06-10</t>
  </si>
  <si>
    <t>2022-06-13</t>
  </si>
  <si>
    <t>2022-06-14</t>
  </si>
  <si>
    <t>2022-06-15</t>
  </si>
  <si>
    <t>2022-06-16</t>
  </si>
  <si>
    <t>2022-06-17</t>
  </si>
  <si>
    <t>2022-06-20</t>
  </si>
  <si>
    <t>2022-06-21</t>
  </si>
  <si>
    <t>2022-06-22</t>
  </si>
  <si>
    <t>2022-06-23</t>
  </si>
  <si>
    <t>2022-06-24</t>
  </si>
  <si>
    <t>2022-06-27</t>
  </si>
  <si>
    <t>2022-06-28</t>
  </si>
  <si>
    <t>2022-06-29</t>
  </si>
  <si>
    <t>2022-06-30</t>
  </si>
  <si>
    <t>2022-07-01</t>
  </si>
  <si>
    <t>2022-07-04</t>
  </si>
  <si>
    <t>2022-07-05</t>
  </si>
  <si>
    <t>2022-07-06</t>
  </si>
  <si>
    <t>2022-07-07</t>
  </si>
  <si>
    <t>2022-07-08</t>
  </si>
  <si>
    <t>2022-07-11</t>
  </si>
  <si>
    <t>2022-07-12</t>
  </si>
  <si>
    <t>2022-07-13</t>
  </si>
  <si>
    <t>2022-07-14</t>
  </si>
  <si>
    <t>2022-07-15</t>
  </si>
  <si>
    <t>2022-07-18</t>
  </si>
  <si>
    <t>2022-07-19</t>
  </si>
  <si>
    <t>2022-07-20</t>
  </si>
  <si>
    <t>2022-07-22</t>
  </si>
  <si>
    <t>2022-07-25</t>
  </si>
  <si>
    <t>2022-07-26</t>
  </si>
  <si>
    <t>2022-07-27</t>
  </si>
  <si>
    <t>2022-07-28</t>
  </si>
  <si>
    <t>2022-07-29</t>
  </si>
  <si>
    <t>2022-08-01</t>
  </si>
  <si>
    <t>2022-08-02</t>
  </si>
  <si>
    <t>2022-08-03</t>
  </si>
  <si>
    <t>2022-08-04</t>
  </si>
  <si>
    <t>2022-08-05</t>
  </si>
  <si>
    <t>2022-08-08</t>
  </si>
  <si>
    <t>2022-08-09</t>
  </si>
  <si>
    <t>2022-08-10</t>
  </si>
  <si>
    <t>2022-08-11</t>
  </si>
  <si>
    <t>2022-08-12</t>
  </si>
  <si>
    <t>2022-08-16</t>
  </si>
  <si>
    <t>2022-08-17</t>
  </si>
  <si>
    <t>2022-08-18</t>
  </si>
  <si>
    <t>2022-08-19</t>
  </si>
  <si>
    <t>2022-08-22</t>
  </si>
  <si>
    <t>2022-08-23</t>
  </si>
  <si>
    <t>2022-08-24</t>
  </si>
  <si>
    <t>2022-08-25</t>
  </si>
  <si>
    <t>2022-08-26</t>
  </si>
  <si>
    <t>2022-08-29</t>
  </si>
  <si>
    <t>2022-08-30</t>
  </si>
  <si>
    <t>2022-08-31</t>
  </si>
  <si>
    <t>2022-09-01</t>
  </si>
  <si>
    <t>2022-09-02</t>
  </si>
  <si>
    <t>2022-09-05</t>
  </si>
  <si>
    <t>2022-09-06</t>
  </si>
  <si>
    <t>2022-09-07</t>
  </si>
  <si>
    <t>2022-09-08</t>
  </si>
  <si>
    <t>2022-09-09</t>
  </si>
  <si>
    <t>2022-09-12</t>
  </si>
  <si>
    <t>2022-09-13</t>
  </si>
  <si>
    <t>2022-09-14</t>
  </si>
  <si>
    <t>2022-09-15</t>
  </si>
  <si>
    <t>2022-09-16</t>
  </si>
  <si>
    <t>2022-09-19</t>
  </si>
  <si>
    <t>2022-09-20</t>
  </si>
  <si>
    <t>2022-09-21</t>
  </si>
  <si>
    <t>2022-09-22</t>
  </si>
  <si>
    <t>2022-09-23</t>
  </si>
  <si>
    <t>2022-09-26</t>
  </si>
  <si>
    <t>2022-09-27</t>
  </si>
  <si>
    <t>2022-09-28</t>
  </si>
  <si>
    <t>2022-09-29</t>
  </si>
  <si>
    <t>2022-09-30</t>
  </si>
  <si>
    <t>2022-10-03</t>
  </si>
  <si>
    <t>2022-10-04</t>
  </si>
  <si>
    <t>2022-10-05</t>
  </si>
  <si>
    <t>2022-10-06</t>
  </si>
  <si>
    <t>2022-10-07</t>
  </si>
  <si>
    <t>2022-10-10</t>
  </si>
  <si>
    <t>2022-10-11</t>
  </si>
  <si>
    <t>2022-10-12</t>
  </si>
  <si>
    <t>2022-10-13</t>
  </si>
  <si>
    <t>2022-10-14</t>
  </si>
  <si>
    <t>2022-10-17</t>
  </si>
  <si>
    <t>2022-10-18</t>
  </si>
  <si>
    <t>2022-10-19</t>
  </si>
  <si>
    <t>2022-10-20</t>
  </si>
  <si>
    <t>2022-10-21</t>
  </si>
  <si>
    <t>2022-10-24</t>
  </si>
  <si>
    <t>2022-10-25</t>
  </si>
  <si>
    <t>2022-10-26</t>
  </si>
  <si>
    <t>2022-10-27</t>
  </si>
  <si>
    <t>2022-10-28</t>
  </si>
  <si>
    <t>2022-10-31</t>
  </si>
  <si>
    <t>2022-11-02</t>
  </si>
  <si>
    <t>2022-11-03</t>
  </si>
  <si>
    <t>2022-11-04</t>
  </si>
  <si>
    <t>2022-11-07</t>
  </si>
  <si>
    <t>2022-11-08</t>
  </si>
  <si>
    <t>2022-11-09</t>
  </si>
  <si>
    <t>2022-11-10</t>
  </si>
  <si>
    <t>2022-11-14</t>
  </si>
  <si>
    <t>2022-11-15</t>
  </si>
  <si>
    <t>2022-11-16</t>
  </si>
  <si>
    <t>2022-11-17</t>
  </si>
  <si>
    <t>2022-11-18</t>
  </si>
  <si>
    <t>2022-11-21</t>
  </si>
  <si>
    <t>2022-11-22</t>
  </si>
  <si>
    <t>2022-11-23</t>
  </si>
  <si>
    <t>2022-11-24</t>
  </si>
  <si>
    <t>2022-11-25</t>
  </si>
  <si>
    <t>2022-11-28</t>
  </si>
  <si>
    <t>2022-11-29</t>
  </si>
  <si>
    <t>2022-11-30</t>
  </si>
  <si>
    <t>2022-12-01</t>
  </si>
  <si>
    <t>2022-12-02</t>
  </si>
  <si>
    <t>2022-12-05</t>
  </si>
  <si>
    <t>2022-12-06</t>
  </si>
  <si>
    <t>2022-12-07</t>
  </si>
  <si>
    <t>2022-12-08</t>
  </si>
  <si>
    <t>2022-12-09</t>
  </si>
  <si>
    <t>2022-12-12</t>
  </si>
  <si>
    <t>2022-12-13</t>
  </si>
  <si>
    <t>2022-12-14</t>
  </si>
  <si>
    <t>2022-12-15</t>
  </si>
  <si>
    <t>2022-12-16</t>
  </si>
  <si>
    <t>2022-12-19</t>
  </si>
  <si>
    <t>2022-12-20</t>
  </si>
  <si>
    <t>2022-12-21</t>
  </si>
  <si>
    <t>2022-12-22</t>
  </si>
  <si>
    <t>2022-12-23</t>
  </si>
  <si>
    <t>2022-12-27</t>
  </si>
  <si>
    <t>2022-12-28</t>
  </si>
  <si>
    <t>2022-12-29</t>
  </si>
  <si>
    <t>2022-12-30</t>
  </si>
  <si>
    <t>2023-01-02</t>
  </si>
  <si>
    <t>2023-01-03</t>
  </si>
  <si>
    <t>2023-01-04</t>
  </si>
  <si>
    <t>2023-01-05</t>
  </si>
  <si>
    <t>2023-01-06</t>
  </si>
  <si>
    <t>2023-01-09</t>
  </si>
  <si>
    <t>2023-01-10</t>
  </si>
  <si>
    <t>2023-01-11</t>
  </si>
  <si>
    <t>2023-01-12</t>
  </si>
  <si>
    <t>2023-01-13</t>
  </si>
  <si>
    <t>2023-01-16</t>
  </si>
  <si>
    <t>2023-01-17</t>
  </si>
  <si>
    <t>2023-01-18</t>
  </si>
  <si>
    <t>2023-01-19</t>
  </si>
  <si>
    <t>2023-01-20</t>
  </si>
  <si>
    <t>2023-01-23</t>
  </si>
  <si>
    <t>2023-01-24</t>
  </si>
  <si>
    <t>2023-01-25</t>
  </si>
  <si>
    <t>2023-01-26</t>
  </si>
  <si>
    <t>2023-01-27</t>
  </si>
  <si>
    <t>2023-01-30</t>
  </si>
  <si>
    <t>2023-01-31</t>
  </si>
  <si>
    <t>2023-02-01</t>
  </si>
  <si>
    <t>2023-02-02</t>
  </si>
  <si>
    <t>2023-02-03</t>
  </si>
  <si>
    <t>2023-02-06</t>
  </si>
  <si>
    <t>2023-02-07</t>
  </si>
  <si>
    <t>2023-02-08</t>
  </si>
  <si>
    <t>2023-02-09</t>
  </si>
  <si>
    <t>2023-02-10</t>
  </si>
  <si>
    <t>2023-02-13</t>
  </si>
  <si>
    <t>2023-02-14</t>
  </si>
  <si>
    <t>2023-02-15</t>
  </si>
  <si>
    <t>2023-02-16</t>
  </si>
  <si>
    <t>2023-02-17</t>
  </si>
  <si>
    <t>2023-02-20</t>
  </si>
  <si>
    <t>2023-02-21</t>
  </si>
  <si>
    <t>2023-02-22</t>
  </si>
  <si>
    <t>2023-02-23</t>
  </si>
  <si>
    <t>2023-02-24</t>
  </si>
  <si>
    <t>2023-02-27</t>
  </si>
  <si>
    <t>2023-02-28</t>
  </si>
  <si>
    <t>2023-03-01</t>
  </si>
  <si>
    <t>2023-03-02</t>
  </si>
  <si>
    <t>2023-03-03</t>
  </si>
  <si>
    <t>2023-03-06</t>
  </si>
  <si>
    <t>2023-03-07</t>
  </si>
  <si>
    <t>2023-03-08</t>
  </si>
  <si>
    <t>2023-03-09</t>
  </si>
  <si>
    <t>2023-03-10</t>
  </si>
  <si>
    <t>2023-03-13</t>
  </si>
  <si>
    <t>2023-03-14</t>
  </si>
  <si>
    <t>2023-03-15</t>
  </si>
  <si>
    <t>2023-03-16</t>
  </si>
  <si>
    <t>2023-03-17</t>
  </si>
  <si>
    <t>2023-03-20</t>
  </si>
  <si>
    <t>2023-03-21</t>
  </si>
  <si>
    <t>2023-03-22</t>
  </si>
  <si>
    <t>2023-03-23</t>
  </si>
  <si>
    <t>2023-03-24</t>
  </si>
  <si>
    <t>2023-03-27</t>
  </si>
  <si>
    <t>2023-03-28</t>
  </si>
  <si>
    <t>2023-03-29</t>
  </si>
  <si>
    <t>2023-03-30</t>
  </si>
  <si>
    <t>2023-03-31</t>
  </si>
  <si>
    <t>2023-04-03</t>
  </si>
  <si>
    <t>2023-04-04</t>
  </si>
  <si>
    <t>2023-04-05</t>
  </si>
  <si>
    <t>2023-04-06</t>
  </si>
  <si>
    <t>2023-04-07</t>
  </si>
  <si>
    <t>2023-04-11</t>
  </si>
  <si>
    <t>2023-04-12</t>
  </si>
  <si>
    <t>2023-04-13</t>
  </si>
  <si>
    <t>2023-04-14</t>
  </si>
  <si>
    <t>2023-04-17</t>
  </si>
  <si>
    <t>2023-04-18</t>
  </si>
  <si>
    <t>2023-04-19</t>
  </si>
  <si>
    <t>2023-04-20</t>
  </si>
  <si>
    <t>2023-04-21</t>
  </si>
  <si>
    <t>2023-04-24</t>
  </si>
  <si>
    <t>2023-04-25</t>
  </si>
  <si>
    <t>2023-04-26</t>
  </si>
  <si>
    <t>2023-04-27</t>
  </si>
  <si>
    <t>2023-04-28</t>
  </si>
  <si>
    <t>2023-05-02</t>
  </si>
  <si>
    <t>2023-05-03</t>
  </si>
  <si>
    <t>2023-05-04</t>
  </si>
  <si>
    <t>2023-05-05</t>
  </si>
  <si>
    <t>2023-05-08</t>
  </si>
  <si>
    <t>2023-05-09</t>
  </si>
  <si>
    <t>2023-05-10</t>
  </si>
  <si>
    <t>2023-05-11</t>
  </si>
  <si>
    <t>2023-05-12</t>
  </si>
  <si>
    <t>2023-05-15</t>
  </si>
  <si>
    <t>2023-05-16</t>
  </si>
  <si>
    <t>2023-05-17</t>
  </si>
  <si>
    <t>2023-05-22</t>
  </si>
  <si>
    <t>2023-05-23</t>
  </si>
  <si>
    <t>2023-05-24</t>
  </si>
  <si>
    <t>2023-05-25</t>
  </si>
  <si>
    <t>2023-05-26</t>
  </si>
  <si>
    <t>2023-05-30</t>
  </si>
  <si>
    <t>2023-05-31</t>
  </si>
  <si>
    <t>2023-06-01</t>
  </si>
  <si>
    <t>2023-06-02</t>
  </si>
  <si>
    <t>2023-06-05</t>
  </si>
  <si>
    <t>2023-06-06</t>
  </si>
  <si>
    <t>2023-06-07</t>
  </si>
  <si>
    <t>2023-06-08</t>
  </si>
  <si>
    <t>2023-06-09</t>
  </si>
  <si>
    <t>2023-06-12</t>
  </si>
  <si>
    <t>2023-06-13</t>
  </si>
  <si>
    <t>2023-06-14</t>
  </si>
  <si>
    <t>2023-06-15</t>
  </si>
  <si>
    <t>2023-06-16</t>
  </si>
  <si>
    <t>2023-06-19</t>
  </si>
  <si>
    <t>2023-06-20</t>
  </si>
  <si>
    <t>2023-06-21</t>
  </si>
  <si>
    <t>2023-06-22</t>
  </si>
  <si>
    <t>2023-06-23</t>
  </si>
  <si>
    <t>2023-06-26</t>
  </si>
  <si>
    <t>2023-06-27</t>
  </si>
  <si>
    <t>2023-06-28</t>
  </si>
  <si>
    <t>2023-06-29</t>
  </si>
  <si>
    <t>2023-06-30</t>
  </si>
  <si>
    <t>2023-07-03</t>
  </si>
  <si>
    <t>2023-07-04</t>
  </si>
  <si>
    <t>2023-07-05</t>
  </si>
  <si>
    <t>2023-07-06</t>
  </si>
  <si>
    <t>2023-07-07</t>
  </si>
  <si>
    <t>2023-07-10</t>
  </si>
  <si>
    <t>2023-07-11</t>
  </si>
  <si>
    <t>2023-07-12</t>
  </si>
  <si>
    <t>2023-07-13</t>
  </si>
  <si>
    <t>2023-07-14</t>
  </si>
  <si>
    <t>2023-07-17</t>
  </si>
  <si>
    <t>2023-07-18</t>
  </si>
  <si>
    <t>2023-07-19</t>
  </si>
  <si>
    <t>2023-07-20</t>
  </si>
  <si>
    <t>2023-07-24</t>
  </si>
  <si>
    <t>2023-07-25</t>
  </si>
  <si>
    <t>2023-07-26</t>
  </si>
  <si>
    <t>2023-07-27</t>
  </si>
  <si>
    <t>2023-07-28</t>
  </si>
  <si>
    <t>2023-07-31</t>
  </si>
  <si>
    <t>2023-08-01</t>
  </si>
  <si>
    <t>2023-08-02</t>
  </si>
  <si>
    <t>2023-08-03</t>
  </si>
  <si>
    <t>2023-08-04</t>
  </si>
  <si>
    <t>2023-08-07</t>
  </si>
  <si>
    <t>2023-08-08</t>
  </si>
  <si>
    <t>2023-08-09</t>
  </si>
  <si>
    <t>2023-08-10</t>
  </si>
  <si>
    <t>2023-08-11</t>
  </si>
  <si>
    <t>2023-08-14</t>
  </si>
  <si>
    <t>2023-08-16</t>
  </si>
  <si>
    <t>2023-08-17</t>
  </si>
  <si>
    <t>2023-08-18</t>
  </si>
  <si>
    <t>2023-08-21</t>
  </si>
  <si>
    <t>2023-08-22</t>
  </si>
  <si>
    <t>2023-08-23</t>
  </si>
  <si>
    <t>2023-08-24</t>
  </si>
  <si>
    <t>2023-08-25</t>
  </si>
  <si>
    <t>2023-08-28</t>
  </si>
  <si>
    <t>2023-08-29</t>
  </si>
  <si>
    <t>2023-08-30</t>
  </si>
  <si>
    <t>2023-08-31</t>
  </si>
  <si>
    <t>2023-09-01</t>
  </si>
  <si>
    <t>2023-09-04</t>
  </si>
  <si>
    <t>2023-09-05</t>
  </si>
  <si>
    <t>2023-09-06</t>
  </si>
  <si>
    <t>2023-09-07</t>
  </si>
  <si>
    <t>2023-09-08</t>
  </si>
  <si>
    <t>2023-09-11</t>
  </si>
  <si>
    <t>2023-09-12</t>
  </si>
  <si>
    <t>2023-09-13</t>
  </si>
  <si>
    <t>2023-09-14</t>
  </si>
  <si>
    <t>2023-09-15</t>
  </si>
  <si>
    <t>2023-09-18</t>
  </si>
  <si>
    <t>2023-09-19</t>
  </si>
  <si>
    <t>2023-09-20</t>
  </si>
  <si>
    <t>2023-09-21</t>
  </si>
  <si>
    <t>2023-09-22</t>
  </si>
  <si>
    <t>2023-09-25</t>
  </si>
  <si>
    <t>2023-09-26</t>
  </si>
  <si>
    <t>2023-09-27</t>
  </si>
  <si>
    <t>2023-09-28</t>
  </si>
  <si>
    <t>2023-09-29</t>
  </si>
  <si>
    <t>2023-10-02</t>
  </si>
  <si>
    <t>2023-10-03</t>
  </si>
  <si>
    <t>2023-10-04</t>
  </si>
  <si>
    <t>2023-10-05</t>
  </si>
  <si>
    <t>2023-10-06</t>
  </si>
  <si>
    <t>2023-10-09</t>
  </si>
  <si>
    <t>2023-10-10</t>
  </si>
  <si>
    <t>2023-10-11</t>
  </si>
  <si>
    <t>2023-10-12</t>
  </si>
  <si>
    <t>2023-10-13</t>
  </si>
  <si>
    <t>2023-10-16</t>
  </si>
  <si>
    <t>2023-10-17</t>
  </si>
  <si>
    <t>2023-10-18</t>
  </si>
  <si>
    <t>2023-10-19</t>
  </si>
  <si>
    <t>2023-10-20</t>
  </si>
  <si>
    <t>2023-10-23</t>
  </si>
  <si>
    <t>2023-10-24</t>
  </si>
  <si>
    <t>2023-10-25</t>
  </si>
  <si>
    <t>2023-10-26</t>
  </si>
  <si>
    <t>2023-10-27</t>
  </si>
  <si>
    <t>2023-10-30</t>
  </si>
  <si>
    <t>2023-10-31</t>
  </si>
  <si>
    <t>2023-11-02</t>
  </si>
  <si>
    <t>2023-11-03</t>
  </si>
  <si>
    <t>2023-11-06</t>
  </si>
  <si>
    <t>2023-11-07</t>
  </si>
  <si>
    <t>2023-11-08</t>
  </si>
  <si>
    <t>2023-11-09</t>
  </si>
  <si>
    <t>2023-11-10</t>
  </si>
  <si>
    <t>2023-11-13</t>
  </si>
  <si>
    <t>2023-11-14</t>
  </si>
  <si>
    <t>2023-11-15</t>
  </si>
  <si>
    <t>2023-11-16</t>
  </si>
  <si>
    <t>2023-11-17</t>
  </si>
  <si>
    <t>2023-11-20</t>
  </si>
  <si>
    <t>2023-11-21</t>
  </si>
  <si>
    <t>2023-11-22</t>
  </si>
  <si>
    <t>2023-11-23</t>
  </si>
  <si>
    <t>2023-11-24</t>
  </si>
  <si>
    <t>2023-11-27</t>
  </si>
  <si>
    <t>2023-11-28</t>
  </si>
  <si>
    <t>2023-11-29</t>
  </si>
  <si>
    <t>2023-11-30</t>
  </si>
  <si>
    <t>2023-12-01</t>
  </si>
  <si>
    <t>2023-12-04</t>
  </si>
  <si>
    <t>2023-12-05</t>
  </si>
  <si>
    <t>2023-12-06</t>
  </si>
  <si>
    <t>2023-12-07</t>
  </si>
  <si>
    <t>2023-12-08</t>
  </si>
  <si>
    <t>2023-12-11</t>
  </si>
  <si>
    <t>2023-12-12</t>
  </si>
  <si>
    <t>2023-12-13</t>
  </si>
  <si>
    <t>2023-12-14</t>
  </si>
  <si>
    <t>2023-12-15</t>
  </si>
  <si>
    <t>2023-12-18</t>
  </si>
  <si>
    <t>2023-12-19</t>
  </si>
  <si>
    <t>2023-12-20</t>
  </si>
  <si>
    <t>2023-12-21</t>
  </si>
  <si>
    <t>2023-12-22</t>
  </si>
  <si>
    <t>2023-12-27</t>
  </si>
  <si>
    <t>2023-12-28</t>
  </si>
  <si>
    <t>2023-12-29</t>
  </si>
  <si>
    <t>2024-01-02</t>
  </si>
  <si>
    <t>2024-01-03</t>
  </si>
  <si>
    <t>2024-01-04</t>
  </si>
  <si>
    <t>2024-01-05</t>
  </si>
  <si>
    <t>2024-01-08</t>
  </si>
  <si>
    <t>2024-01-09</t>
  </si>
  <si>
    <t>2024-01-10</t>
  </si>
  <si>
    <t>2024-01-11</t>
  </si>
  <si>
    <t>2024-01-12</t>
  </si>
  <si>
    <t>2024-01-15</t>
  </si>
  <si>
    <t>2024-01-16</t>
  </si>
  <si>
    <t>2024-01-17</t>
  </si>
  <si>
    <t>Data extracted on 17 Jan 2024 16:47 UTC (GMT) from NBB.Stat</t>
  </si>
  <si>
    <t>Prijsaanvraag infrastructuur met infrastructuurforfait</t>
  </si>
  <si>
    <t>Klik hier indien terug naar generieke input</t>
  </si>
  <si>
    <t>1. Verantwoording van de gevraagde gemiddelde dagprijs</t>
  </si>
  <si>
    <t>Totaal verantwoorde dagprijs met aftrek forfait</t>
  </si>
  <si>
    <t>niet invullen, wordt automatisch berekend</t>
  </si>
  <si>
    <t>1.1 Kamerinvesteringen</t>
  </si>
  <si>
    <t>totaalbedragen in euro over economische levensduur investering</t>
  </si>
  <si>
    <t>Gebouw</t>
  </si>
  <si>
    <t>Meubilair</t>
  </si>
  <si>
    <t>bouw/aankoopkost van forfaitgerechtigde capaciteit</t>
  </si>
  <si>
    <t>vermeld bedragen inclusief aankoopkosten, registratierechten, voor investering forfaitgerechtigde capaciteit</t>
  </si>
  <si>
    <t>kapitaalsubsidie uitbetaald over bouwperiode</t>
  </si>
  <si>
    <t>vermeld subsidies die tijdens de bouwperiode worden uitbetaald</t>
  </si>
  <si>
    <t>totale BTW-recuperatie</t>
  </si>
  <si>
    <t>vermeld de BTW die kan teruggevorderd worden</t>
  </si>
  <si>
    <t>te financieren bouwkost</t>
  </si>
  <si>
    <t>wordt automatisch berekend</t>
  </si>
  <si>
    <t>financieringskost</t>
  </si>
  <si>
    <t>bouwkost incl. financieringskost</t>
  </si>
  <si>
    <t>onroerende voorheffing/belasting</t>
  </si>
  <si>
    <t>vermeld indien voorkomend, totaalbedrag van onroerende voorheffing (ongeïndexeerd) over economische levensduur</t>
  </si>
  <si>
    <t>netto bouw- en financieringskost</t>
  </si>
  <si>
    <t>aantal plaatsen onder forfait en waarop investeringskost van toepassing</t>
  </si>
  <si>
    <t>afschrijvingsduur</t>
  </si>
  <si>
    <t>ligt standaard vast</t>
  </si>
  <si>
    <t xml:space="preserve">aantal dagen </t>
  </si>
  <si>
    <t>ligt vast</t>
  </si>
  <si>
    <t>bezettingsgraad</t>
  </si>
  <si>
    <t>infrastructuurkost in dagprijs</t>
  </si>
  <si>
    <t xml:space="preserve">  </t>
  </si>
  <si>
    <t>Infrastructuurcomponent in dagprijs incl. gederfd forfait</t>
  </si>
  <si>
    <t>wordt berekend</t>
  </si>
  <si>
    <t>- forfait</t>
  </si>
  <si>
    <t>infrastructuurcomponent in dagprijs na aftrek forfait</t>
  </si>
  <si>
    <t>Motivatie:</t>
  </si>
  <si>
    <t>in geval van een investering derde partij:  huurcontract, erfpachtovereenkomst, opstalovereenkomst, letter of intent waarin de bouwkost kan teruggevonden worden.</t>
  </si>
  <si>
    <t>Toe te voegen bijlagen:</t>
  </si>
  <si>
    <t>1.2  Andere investeringen</t>
  </si>
  <si>
    <t>Investering1</t>
  </si>
  <si>
    <t>Investering2</t>
  </si>
  <si>
    <t>Investering3</t>
  </si>
  <si>
    <t>Investering4</t>
  </si>
  <si>
    <t>Eenmalige investeringskost (eventueel bij verhuurder)</t>
  </si>
  <si>
    <t>kapitaalsubsidie uitbetaald gedurende bouwperiode</t>
  </si>
  <si>
    <t>Totale netto investeringskost</t>
  </si>
  <si>
    <t>Investeringskost inclusief financieringskost</t>
  </si>
  <si>
    <t>gespreide subsidie</t>
  </si>
  <si>
    <t>Netto investerings- en financieringskost</t>
  </si>
  <si>
    <t>kan eventueel gewijzigd worden bij afwijkende afschrijvingsduur</t>
  </si>
  <si>
    <t>Aantal dagen</t>
  </si>
  <si>
    <t>investeringskost/periodieke vergoeding in dagprijs</t>
  </si>
  <si>
    <t>Overige investeringskosten in dagprijs:</t>
  </si>
  <si>
    <t>analoog met de bijlagen vermeld bij 1.1</t>
  </si>
  <si>
    <t>1.3  Kosten van personeel in dienstverband na verrekening van de overheidstussenkomsten</t>
  </si>
  <si>
    <t>Aantal VTE</t>
  </si>
  <si>
    <t>Personeelkost</t>
  </si>
  <si>
    <t>Basistegemoetkoming zorg (*)</t>
  </si>
  <si>
    <t>Eindeloopbaan (*)</t>
  </si>
  <si>
    <t>Fondsen maribel (*)</t>
  </si>
  <si>
    <t xml:space="preserve">Aanvullende
financiering (*) </t>
  </si>
  <si>
    <t>IFIC</t>
  </si>
  <si>
    <t>Andere (vb. OCVK, 
nomenclatuur, 
jongdementie *)</t>
  </si>
  <si>
    <t>Nettokost</t>
  </si>
  <si>
    <t>Zorgpersoneel</t>
  </si>
  <si>
    <t>in te vullen, behalve in kolom M</t>
  </si>
  <si>
    <t>Administratief, Logistiek, technisch,  poets- en keukenpersoneel</t>
  </si>
  <si>
    <t>Totaal</t>
  </si>
  <si>
    <t>(*) Voor een opsomming van de componenten van de basistegemoetkoming voor zorg en de overige overheidstussenkomsten, volg deze link:</t>
  </si>
  <si>
    <t>checklist overheidstussenkomst</t>
  </si>
  <si>
    <t>Totale netto-personeelskost</t>
  </si>
  <si>
    <t>Aantal verblijfsdagen</t>
  </si>
  <si>
    <t>Personeelskosten na overheidstussenkomst in dagprijs:</t>
  </si>
  <si>
    <t>Motivatie/bewijsstukken:</t>
  </si>
  <si>
    <t>eventuele toelichting sociale balans, extract resultatenrekening of businessplan</t>
  </si>
  <si>
    <t xml:space="preserve">1.4  Producten en diensten en diverse leveringen te verrekenen in dagprijs </t>
  </si>
  <si>
    <t>Producten:</t>
  </si>
  <si>
    <t>Totaal (in te vullen volgens instructies in kolom G)</t>
  </si>
  <si>
    <t>Kost per verblijfsdag (wordt berekend)</t>
  </si>
  <si>
    <t>wordt berekend of wordt, indien voorkomend, ingevuld indien cellen met detailinformatie met groene commentaar niet worden ingevuld</t>
  </si>
  <si>
    <t>Aankopen voeding</t>
  </si>
  <si>
    <t>facultatief in te vullen</t>
  </si>
  <si>
    <t>Aankopen medisch, verzorgingsmateriaal</t>
  </si>
  <si>
    <t>Klein materiaal voor onderhoud</t>
  </si>
  <si>
    <t>in zoverre geen groot, eigenaarsonderhoud. Kost van vervanging van bv. lift, zit in economische afschrijving van de infrastructuur</t>
  </si>
  <si>
    <t>Socioculturele activiteiten en ontspanning</t>
  </si>
  <si>
    <t>Bureel en  informatica</t>
  </si>
  <si>
    <t>software wordt hier opgenomen in zoverre niet opgenomen onder 1.2, klein kantoormaterieel (perforator, mappen, nietjesmachine)</t>
  </si>
  <si>
    <t>Textiel en wasproducten</t>
  </si>
  <si>
    <t>Toilet en opschik</t>
  </si>
  <si>
    <t>Diensten en diverse leveringen:</t>
  </si>
  <si>
    <t>Externe diensten</t>
  </si>
  <si>
    <t>Sociaal secretariaat</t>
  </si>
  <si>
    <t>Boekhouding/adm/zorgtoepassing</t>
  </si>
  <si>
    <t>externe accountant, bedrijfsrevisor, boekhouder in loondienst zit onder 1.3</t>
  </si>
  <si>
    <t>Informatieverwerking</t>
  </si>
  <si>
    <t>informatieverwerking door derden, bvb. met betrekking tot sectoranalyses door derden, berekeningen personeelsinzet,…</t>
  </si>
  <si>
    <t>Keuken</t>
  </si>
  <si>
    <t>externe keuken, interne keuken zit voor de invsteringen onder 1.3 andere investeringen en voor de personeelskosten onder 1.3</t>
  </si>
  <si>
    <t>Was en linnen</t>
  </si>
  <si>
    <t>Onderhoud en schoonmaak</t>
  </si>
  <si>
    <t>enkel gebruikersonderhoud, geen groot onderhoud/verbouwing gezien gedekt door afschrijvingen</t>
  </si>
  <si>
    <t>Vergoedingen en erelonen</t>
  </si>
  <si>
    <t>vergoedingen/erelonen advocaten, notarissen</t>
  </si>
  <si>
    <t>Onderhoud en herstellingen</t>
  </si>
  <si>
    <t>indien voorkomend, in te vullen</t>
  </si>
  <si>
    <t>Verzekeringen</t>
  </si>
  <si>
    <t>Administratie</t>
  </si>
  <si>
    <t>Externe medische verzorging</t>
  </si>
  <si>
    <t>Bezoldiging bestuurders</t>
  </si>
  <si>
    <t>Aankopen energie</t>
  </si>
  <si>
    <t>Supplementen en voorschotten ten gunste van derden</t>
  </si>
  <si>
    <t>gelieve het bedrag van supplementen en voorschotten in te vullen met betrekking tot voorgaande kostencategorieën</t>
  </si>
  <si>
    <t>gelieve in bijlage het detail van de supplementen toe te lichten:</t>
  </si>
  <si>
    <t>bijlage supplement</t>
  </si>
  <si>
    <t>Totale nettokosten diensten en diverse leveringen (na aftrek suppelementen en voorschotten)</t>
  </si>
  <si>
    <t>Producten en diensten en diverse leveringen in dagprijs:</t>
  </si>
  <si>
    <t>voor bepaalde posten zullen bijkomende verantwoordingsstukken worden opgevraagd</t>
  </si>
  <si>
    <t>2. Evaluatie dagprijzen</t>
  </si>
  <si>
    <t>Verantwoorde prijs na aftrek forfait</t>
  </si>
  <si>
    <t>wordt berekend: som van 1.1 - 1.4</t>
  </si>
  <si>
    <t>wordt berekend, niet in te vullen</t>
  </si>
  <si>
    <t>Kamertype/woon/verblijfseenheid in nieuwe infrastructuur</t>
  </si>
  <si>
    <t>Forfaitgerechtigde capaciteit</t>
  </si>
  <si>
    <t>kolom G wordt berekend, niet overschrijven</t>
  </si>
  <si>
    <t>Eventuele foutmeldingen:</t>
  </si>
  <si>
    <t>alle kolommen in te vullen, behalve kolom G die wordt berekend</t>
  </si>
  <si>
    <t>Gewogen gemiddelde</t>
  </si>
  <si>
    <t xml:space="preserve">2.2 Aangevraagde dagprijzen voor bestaande bewoners </t>
  </si>
  <si>
    <t>Kamertype/woon/verblijfseenheid in oude infrastructuur voor bestaande bewoners</t>
  </si>
  <si>
    <t>Evolutie opstappen</t>
  </si>
  <si>
    <t>ja</t>
  </si>
  <si>
    <t>nee</t>
  </si>
  <si>
    <t>Aandachtspunten voor betaling en facturatie:</t>
  </si>
  <si>
    <t>Motivatie opname prijs in overeenkomst via:</t>
  </si>
  <si>
    <t>bewijs van de datum van de start van de werken aan hand van een aanvangsbevel van de werken (brief voorziening aan de aannemer)</t>
  </si>
  <si>
    <t>geel= te selecteren</t>
  </si>
  <si>
    <t>oranje wordt berekend</t>
  </si>
  <si>
    <t>groen= in te vullen</t>
  </si>
  <si>
    <t>Formulier 1</t>
  </si>
  <si>
    <t>Investeringssoort in formulier</t>
  </si>
  <si>
    <t>Omschrijving</t>
  </si>
  <si>
    <t>Verantwoordingsstuk</t>
  </si>
  <si>
    <t>Referentie</t>
  </si>
  <si>
    <t>toewijzings%</t>
  </si>
  <si>
    <t>toe te rekenen</t>
  </si>
  <si>
    <t>Kies uit de investeringssoort:</t>
  </si>
  <si>
    <t>kost (in euro):</t>
  </si>
  <si>
    <t>studie architect</t>
  </si>
  <si>
    <t>contract</t>
  </si>
  <si>
    <t>2023-contract-1</t>
  </si>
  <si>
    <t>omgevingsaanleg</t>
  </si>
  <si>
    <t>gunningsbeslissing</t>
  </si>
  <si>
    <t>2024-GB1</t>
  </si>
  <si>
    <t>Meubilair (los)</t>
  </si>
  <si>
    <t>ruwbouw</t>
  </si>
  <si>
    <t>2024-GB2</t>
  </si>
  <si>
    <t>domotica</t>
  </si>
  <si>
    <t>technieken en afwerking</t>
  </si>
  <si>
    <t>2024-GB3</t>
  </si>
  <si>
    <t>gordijnen</t>
  </si>
  <si>
    <t>vast meubilair</t>
  </si>
  <si>
    <t>2024-GB4</t>
  </si>
  <si>
    <t>hardware</t>
  </si>
  <si>
    <t>herzieningen</t>
  </si>
  <si>
    <t>vorderingstaat</t>
  </si>
  <si>
    <t>VS-18</t>
  </si>
  <si>
    <t>software</t>
  </si>
  <si>
    <t>nachttafels + tafels + bedden</t>
  </si>
  <si>
    <t>factuur</t>
  </si>
  <si>
    <t>AF18</t>
  </si>
  <si>
    <t>Investering5</t>
  </si>
  <si>
    <t>kasten</t>
  </si>
  <si>
    <t>offerte</t>
  </si>
  <si>
    <t>bestelbon_Furniture</t>
  </si>
  <si>
    <t>Investering6</t>
  </si>
  <si>
    <t>oproepsysteem</t>
  </si>
  <si>
    <t>bestelbon_CallMe</t>
  </si>
  <si>
    <t>Investering7</t>
  </si>
  <si>
    <t>AF27</t>
  </si>
  <si>
    <t>Investering8</t>
  </si>
  <si>
    <t>computers</t>
  </si>
  <si>
    <t>AF36</t>
  </si>
  <si>
    <t>Investering9</t>
  </si>
  <si>
    <t>licenties</t>
  </si>
  <si>
    <t>AF39</t>
  </si>
  <si>
    <t>Investering10</t>
  </si>
  <si>
    <t>Kies uit de investeringscomponent:</t>
  </si>
  <si>
    <t>totaalbedrag in euro</t>
  </si>
  <si>
    <t>Detailleer het totaalbedrag conform onderstaande rubrieken:</t>
  </si>
  <si>
    <t>sondevoeding: het surplus op de gebruikelijke voedingskost, na aftrek van de door het RIZIV terugbetaalde tegemoetkoming:</t>
  </si>
  <si>
    <t>dokterskosten, paramedische kosten en medicatie:</t>
  </si>
  <si>
    <t>kapper:</t>
  </si>
  <si>
    <t>abonnement op kabeldistributie:</t>
  </si>
  <si>
    <t>telefoonkosten:</t>
  </si>
  <si>
    <t>reiniging van persoonlijke kleding:</t>
  </si>
  <si>
    <t>bron: https://www.zorg-en-gezondheid.be/wat-is-in-de-dagprijs-van-een-woonzorgcentrum-inbegrepen</t>
  </si>
  <si>
    <t>brutodagprijs
- forfait 5,11 euro
= nettodagprijs (= prijs na aftrek forfait)</t>
  </si>
  <si>
    <t>- vervolgens wordt hierop het forfait van 5,11 euro in mindering gebracht</t>
  </si>
  <si>
    <t>bij ingebruikname: nettodagprijs = huidige dagprijs (HDP) + max. 5 euro opstap bruto - 5,11 euro forfait</t>
  </si>
  <si>
    <t>ten vroegste 6 maand na ingebruikname: nettoprijs = HDP + 2 x max. 5 euro opstap bruto - 5,11 euro forfait</t>
  </si>
  <si>
    <t xml:space="preserve">Totaal verantwoorde dagprijs </t>
  </si>
  <si>
    <t>1.1 lopende infrastructuurkost in dagprijs</t>
  </si>
  <si>
    <t>Geef hier de lopende infrastructuurkosten op onder de vorm van afschrijvingen, huur- en intrestkosten. Die dienen dan gestaafd te worden op basis van een extract uit de analytische boekhouding m.b.t. de betrokken voorziening en eenheden.
Indien u slechts een dagprijsverhoging wenst voor een bepaald deel van de erkende capaciteit, dan kan slechts het deel van de lopende infrastructuurkosten worden verrekend dat betrekking heeft op dat deel van de capaciteit. Er is dan bijgevolg een pro ratering van de infrastructuurkosten vereist.</t>
  </si>
  <si>
    <t>Bedragen in euro:</t>
  </si>
  <si>
    <t>afschrijvingen lopende infrastructuur</t>
  </si>
  <si>
    <t>vermeld hier de lopende afschrijvingen/jaar</t>
  </si>
  <si>
    <t>te verantwoorden via de boekhouding</t>
  </si>
  <si>
    <t>huur/erfpacht lopende infrastructuur</t>
  </si>
  <si>
    <t>vermeld hier de lopende erfpachtvergoeding</t>
  </si>
  <si>
    <t>lopende intrestkosten</t>
  </si>
  <si>
    <t>vermeld hier de lopende intrestkosten</t>
  </si>
  <si>
    <t>totale lopende infrastructuurkost</t>
  </si>
  <si>
    <t>niet in te vullen, wordt berekend</t>
  </si>
  <si>
    <t>aantal plaatsen prijsaanvraag</t>
  </si>
  <si>
    <t>is 365 voor alle zorgvormen behalve CDV = 250 dagen</t>
  </si>
  <si>
    <t>lopende infrastructuurkost in dagprijs:</t>
  </si>
  <si>
    <t>1.2  Nieuwe investeringen in dagprijs</t>
  </si>
  <si>
    <t>Nieuwe investeringskosten in dagprijs:</t>
  </si>
  <si>
    <t>Check op geoorloofd gebruik van formulier:</t>
  </si>
  <si>
    <t>totaal investeringen &gt;=20 jaar</t>
  </si>
  <si>
    <t>totale investering</t>
  </si>
  <si>
    <t>Besluit:</t>
  </si>
  <si>
    <t>1.3 Kosten van personeel in dienstverband na verrekening van de overheidstussenkomsten</t>
  </si>
  <si>
    <r>
      <t xml:space="preserve">Deze rubriek heeft betrekking op alle personeel, inclusief het zelfstandige zorgpersoneel en uitzendpersoneel. Enkel de bestuurders worden onder diensten en diverse leveringen toegerekend. 
Enkel het personeel voor de niet-infrastructuurforfaitgerechtigde capaciteit mag hier worden ingevuld. In geval van uitbreiding van capaciteit zijn de VTE's, personeelskosten en bepaalde overheidstussenkomsten op kruissnelheid wanneer de volledige uitgebreide capaciteit wordt bereikt. Hierbij mag echter geen rekening gehouden worden met de inflatie, gezien die reeds bekomen wordt via de indexering van de dagprijs.
Vul hier per personeelscategorie op jaarbasis in: het aantal  VTE, personeelskost en overheidstussenkomst (=voor de laatste 2 is dit het totaalbedrag, niet het bedrag per verblijfsdag).
</t>
    </r>
    <r>
      <rPr>
        <b/>
        <u/>
        <sz val="11"/>
        <color rgb="FFFF0000"/>
        <rFont val="Calibri"/>
        <family val="2"/>
        <scheme val="minor"/>
      </rPr>
      <t>Personeelscategorieën:</t>
    </r>
    <r>
      <rPr>
        <sz val="11"/>
        <color rgb="FFFF0000"/>
        <rFont val="Calibri"/>
        <family val="2"/>
        <scheme val="minor"/>
      </rPr>
      <t xml:space="preserve">
- zorgpersoneel = verpleegkundigen, zorgkundigen (verzorgenden), kinesitherapeuten, logopedisten, ergotherapeuten, personeel voor reactivatie;
- administratief (inclusief directie), logistiek, technisch, poets- en keukenpersoneel: al het overige personeel dat niet tot de voorgaande categorie behoort
</t>
    </r>
    <r>
      <rPr>
        <b/>
        <u/>
        <sz val="11"/>
        <color rgb="FFFF0000"/>
        <rFont val="Calibri"/>
        <family val="2"/>
        <scheme val="minor"/>
      </rPr>
      <t>Personeelskost:</t>
    </r>
    <r>
      <rPr>
        <sz val="11"/>
        <color rgb="FFFF0000"/>
        <rFont val="Calibri"/>
        <family val="2"/>
        <scheme val="minor"/>
      </rPr>
      <t xml:space="preserve"> is brutoloonkost inclusief werkgeversbijdrage. Verzekeringen en andere overheadkosten worden hier niet vermeld, maar onder rubriek 1.4.
</t>
    </r>
    <r>
      <rPr>
        <b/>
        <u/>
        <sz val="11"/>
        <color rgb="FFFF0000"/>
        <rFont val="Calibri"/>
        <family val="2"/>
        <scheme val="minor"/>
      </rPr>
      <t>Overheidstussenkomsten:
Vul hier steeds het totaalbedrag en niet het bedrag per verblijfsdag in.</t>
    </r>
    <r>
      <rPr>
        <sz val="11"/>
        <color rgb="FFFF0000"/>
        <rFont val="Calibri"/>
        <family val="2"/>
        <scheme val="minor"/>
      </rPr>
      <t xml:space="preserve">
De basistegemoetkoming voor zorg die in mindering wordt gebracht, heeft ook betrekking op de tussenkomst voor niet-personeelskosten (de basistegemoetkoming voor zorg mag echter integraal in mindering gebracht worden op de personeelskosten, zodat dit niet meer moet versleuteld worden naar rubriek 1.4). 
Overheidstussenkomsten (zoals elementen sociale akkoorden) die betrekking hebben op verschillende personeelscategorieën probeert u toe te wijzen volgens de detailberekening of, indien niet mogelijk, via een logische verdeelsleutel. U dient uiteraard enkel de overheidstussenkomst in te vullen voor de personeelscategorieën waarop die betrekking heeft.
Belangrijk is dat alle componenten van de overheidstussenkomst worden opgenomen: voor een checklist zie tabblad "checklist overheidstussenkomst"</t>
    </r>
  </si>
  <si>
    <t xml:space="preserve">1.4 Producten en diensten en diverse leveringen te verrekenen in dagprijs </t>
  </si>
  <si>
    <t>Vul hierna in kolom E de andere kosten voor producten en diensten en diverse leveringen in met betrekking tot de niet-forfaitgerechtigde bewoners. Hiervoor worden enkel die kosten opgenomen die niet eerder in de vorige rubrieken werden aangerekend.
U vult daartoe in kolom E, waar van toepassing, de kosten op detailniveau in. Indien dit niet kan, mag u zich beperken tot de zwart omkaderde cellen/kaders. In sommige gevallen betekent dit dat u een automatisch berekend totaal zal overschrijven.
Het totaal van de andere kosten voor producten en diensten en diverse leveringen wordt slechts verrekend in de dagprijs na aftrek van het deel dat reeds via een supplement werd doorgerekend. 
Naast "supplementen en voorschotten" vult u in kolom E het totaalbedrag aan supplementen en voorschotten in dat reeds door de bewoners wordt betaald en dus niet dient verrekend te worden in de dagprijs.
In kolom F wordt vervolgens de gemiddelde kost per verblijfsdag berekend</t>
  </si>
  <si>
    <t>externe keuken, interne keuken zit voor de invsteringen onder 1.2 andere investeringen en voor de personeelskosten onder 1.3</t>
  </si>
  <si>
    <t xml:space="preserve">Verantwoorde prijs </t>
  </si>
  <si>
    <t>Capaciteit waarvoor prijsaanvraag</t>
  </si>
  <si>
    <t>Gevraagde dagprijs</t>
  </si>
  <si>
    <t>alle kolommen in te vullen</t>
  </si>
  <si>
    <t xml:space="preserve">2.2  Aangevraagde dagprijzen voor bestaande bewoners </t>
  </si>
  <si>
    <t>Kolom H wordt berekend, kolom I wordt bepaald: niet overschrijven</t>
  </si>
  <si>
    <t xml:space="preserve">Aangevraagde prijs in nieuwe infrastructuur </t>
  </si>
  <si>
    <t xml:space="preserve">Goedgekeurde prijs </t>
  </si>
  <si>
    <t>Formulier 2: andere (geen drastische infrastructuurwerken of evolueren naar marge)</t>
  </si>
  <si>
    <t>1. Resultatenrekening</t>
  </si>
  <si>
    <t>Boekjaar van de laatst beschikbare jaarrekening?</t>
  </si>
  <si>
    <t>&lt;= vul hiernaast het jaartal van het laatste beschikbare boekjaar in</t>
  </si>
  <si>
    <t xml:space="preserve">jaarrekening </t>
  </si>
  <si>
    <t>jaar :</t>
  </si>
  <si>
    <t>I Werkingsopbrengsten (70/74)</t>
  </si>
  <si>
    <t>gelieve in te vullen</t>
  </si>
  <si>
    <t>II Bedrijfskosten (60/64)</t>
  </si>
  <si>
    <t>te beveiligen</t>
  </si>
  <si>
    <r>
      <t>.</t>
    </r>
    <r>
      <rPr>
        <sz val="9"/>
        <rFont val="Arial"/>
        <family val="2"/>
      </rPr>
      <t xml:space="preserve"> Handelsgoederen, grond- en hulpstoffen, diensten en diverse leveringen (60/61)</t>
    </r>
  </si>
  <si>
    <r>
      <t xml:space="preserve">. </t>
    </r>
    <r>
      <rPr>
        <sz val="9"/>
        <rFont val="Arial"/>
        <family val="2"/>
      </rPr>
      <t>Personeelskosten (62)</t>
    </r>
  </si>
  <si>
    <r>
      <t xml:space="preserve">. </t>
    </r>
    <r>
      <rPr>
        <sz val="9"/>
        <rFont val="Arial"/>
        <family val="2"/>
      </rPr>
      <t>Afschrijvingen, waardeverminderingen en voorzieningen (63)</t>
    </r>
  </si>
  <si>
    <r>
      <t xml:space="preserve">. </t>
    </r>
    <r>
      <rPr>
        <sz val="9"/>
        <rFont val="Arial"/>
        <family val="2"/>
      </rPr>
      <t>Andere bedrijfskosten (64)</t>
    </r>
  </si>
  <si>
    <t>III Nettobedrijfsresultaat (I - II)</t>
  </si>
  <si>
    <t>IV Financiële opbrengsten (75)</t>
  </si>
  <si>
    <t>V Financiële kosten (65)</t>
  </si>
  <si>
    <t>VI Winst/verlies uit gewone</t>
  </si>
  <si>
    <t>uitbating vóór belasting</t>
  </si>
  <si>
    <t>((totaal III + (IV-V))</t>
  </si>
  <si>
    <t>Marge vóór uitzonderlijk resultaat</t>
  </si>
  <si>
    <t>Marge &lt; 2,5%</t>
  </si>
  <si>
    <t>wordt bepaald</t>
  </si>
  <si>
    <t>VII Uitzonderlijke opbrengsten (76)</t>
  </si>
  <si>
    <t>VIII Uitzonderlijke kosten (66)</t>
  </si>
  <si>
    <t>IX Resultaat vóór belastingen</t>
  </si>
  <si>
    <t>(totaal VI+ (VII-VIII)</t>
  </si>
  <si>
    <t>X Belastingen (67/78)</t>
  </si>
  <si>
    <t>XI Winst / verlies boekjaar</t>
  </si>
  <si>
    <t>na belastingen</t>
  </si>
  <si>
    <t>word berekend</t>
  </si>
  <si>
    <t xml:space="preserve">Eventuele bijkomende bewijsstukken: </t>
  </si>
  <si>
    <t>2.</t>
  </si>
  <si>
    <t>2.1 Toetsing criteria:</t>
  </si>
  <si>
    <t>marge gedurende 2 afgelopen boekjaren &lt; 2,5%?</t>
  </si>
  <si>
    <t xml:space="preserve"> dient u in te vullen, zie: https://view.officeapps.live.com/op/view.aspx?src=https%3A%2F%2Fwww.zorg-en-gezondheid.be%2Fsites%2Fdefault%2Ffiles%2F2023-10%2FOverzicht_alle_dagprijzen_2023_-_eentweepers_-_Vlaanderen.xlsx&amp;wdOrigin=BROWSELINK</t>
  </si>
  <si>
    <t>gewogen gemiddelde dagprijs private sector o.b.v. laatste beschikbaar jaar</t>
  </si>
  <si>
    <t>wordt opgezocht bij  parameters</t>
  </si>
  <si>
    <t>gewogen gemiddelde dagprijs private sector + 25%</t>
  </si>
  <si>
    <t>evolutie huurkost, afschrijvingen en intrestlast in orde?</t>
  </si>
  <si>
    <t>recente huurkost, afschrijvingen en intrestlast in</t>
  </si>
  <si>
    <t>wordt bepaald o.b.v. laatste jaarrekening</t>
  </si>
  <si>
    <t>waarvan:</t>
  </si>
  <si>
    <t>huurkost</t>
  </si>
  <si>
    <t>vul hier in, bewijs via extract analytische boekhouding</t>
  </si>
  <si>
    <t>afschrijvingen</t>
  </si>
  <si>
    <t>intrest</t>
  </si>
  <si>
    <t>huurkost, afschrijvingen en intrest 4 jaar terug in</t>
  </si>
  <si>
    <t>wordt bepaald o.b.v. jaarrekening N-4</t>
  </si>
  <si>
    <t>toename huurkost, afschrijvingen en intrest</t>
  </si>
  <si>
    <t>toename afgevlakte gezondheidsindex</t>
  </si>
  <si>
    <t>beginindex</t>
  </si>
  <si>
    <t>wordt opgezocht bij parameters</t>
  </si>
  <si>
    <t>eindindex</t>
  </si>
  <si>
    <t>Evolutie huurkost, afschrijvingen en intrestlast &lt; afgevlakte gezondheidsindex</t>
  </si>
  <si>
    <t>2.2  berekening dagprijsverhoging</t>
  </si>
  <si>
    <t>recente  marge</t>
  </si>
  <si>
    <t>A</t>
  </si>
  <si>
    <t>zie laatste boekjaar</t>
  </si>
  <si>
    <t>extra marge tot 2,5%</t>
  </si>
  <si>
    <t>B=max(0%;2,5%-A)</t>
  </si>
  <si>
    <t>extra marge x werkingsopbrengsten (70/74)</t>
  </si>
  <si>
    <t>C=B x werkingsopbrengsten</t>
  </si>
  <si>
    <t>D</t>
  </si>
  <si>
    <t>zie "Generieke input"</t>
  </si>
  <si>
    <t>E</t>
  </si>
  <si>
    <t>maximale prijsverhoging ifv marge</t>
  </si>
  <si>
    <t>G=C/F</t>
  </si>
  <si>
    <t>verstreksituatie</t>
  </si>
  <si>
    <t>wordt bepaald op basis van resultaat laatste jaar</t>
  </si>
  <si>
    <t>dagprijsstijging t.o.v. gewogen gemiddelde dagprijs private sector is max.</t>
  </si>
  <si>
    <t>H</t>
  </si>
  <si>
    <t>in functie van resultaat vóór uitzonderlijk resultaat, in  laatste jaar. Indien verlies =10%, beperkt resultaat = 5%</t>
  </si>
  <si>
    <t>I</t>
  </si>
  <si>
    <t>J= 1,25 x I</t>
  </si>
  <si>
    <t>maximale prijsverhoging i.f.v. gewogen gemiddelde dagprijs private sector</t>
  </si>
  <si>
    <t>K=H x J</t>
  </si>
  <si>
    <t>Voorstel van prijsverhoging:</t>
  </si>
  <si>
    <t>Over te maken gegevens:</t>
  </si>
  <si>
    <t>3.</t>
  </si>
  <si>
    <t>Investeringscategorie II: ……….</t>
  </si>
  <si>
    <t>Investeringscategorie IV: ………</t>
  </si>
  <si>
    <t>Eenmalige investeringskost</t>
  </si>
  <si>
    <t>(verplicht in te vullen)</t>
  </si>
  <si>
    <t>totaal kapitaalsubsidie</t>
  </si>
  <si>
    <t>wordt berekend o.b.v. OLO in Generieke Input</t>
  </si>
  <si>
    <t>intrestsubsidie</t>
  </si>
  <si>
    <t>Aantal erkende capaciteit</t>
  </si>
  <si>
    <t>wordt overgenomen uit Generieke input</t>
  </si>
  <si>
    <t>zie Gregoriaanse kalender</t>
  </si>
  <si>
    <t>maximale bruto dagprijsverhoging</t>
  </si>
  <si>
    <t>maximale netto dagprijsverhoging</t>
  </si>
  <si>
    <t>Voeg tabblad met investeringsoverzicht met kostencomponenten en verantwoordingsstukken toe, of maak gebruik van het standaard voorziene tabblad. Hierna  worden de verantwoordingsstukken steekproefgewijs opgevraagd.</t>
  </si>
  <si>
    <t>4.</t>
  </si>
  <si>
    <t>Verschuiving van supplement naar dagprijs</t>
  </si>
  <si>
    <t>Bewijs van reële kosten die aanleiding geven tot de gevraagde dagprijsverhoging</t>
  </si>
  <si>
    <t>5.</t>
  </si>
  <si>
    <t>Evaluatie dagprijzen</t>
  </si>
  <si>
    <t>kolommen B, E, F zijn in te vullen</t>
  </si>
  <si>
    <t>kolommen E-G zijn in te vullen, H-I zijn te beveiligen</t>
  </si>
  <si>
    <t>naast de aangevraagde prijs, vindt u hier de plafondprijs (kolom H), de maximumprijs in jaar 1 (kolom I) en de maximumprijs waarnaar u in de periode na jaar 1 evolueert</t>
  </si>
  <si>
    <t>hier worden de opstappen berekend</t>
  </si>
  <si>
    <t>5.3  Goedgekeurde maximale gemiddelde prijs</t>
  </si>
  <si>
    <t>maximale gemiddelde prijs</t>
  </si>
  <si>
    <t>bestaande bewoners</t>
  </si>
  <si>
    <t>nieuwe bewoners</t>
  </si>
  <si>
    <t>toegelaten prijsstijging</t>
  </si>
  <si>
    <t>Verantwoorde kost op basis van marge</t>
  </si>
  <si>
    <t>Verantwoorde kost op basis van andere kosten:</t>
  </si>
  <si>
    <t>Effectieve kosten/dag</t>
  </si>
  <si>
    <t>Voor bestaande bewoners geplafonneerd tot 10% van de gemiddelde dagprijs</t>
  </si>
  <si>
    <t>Max. % toename per kamertype (marge + andere kosten) t.o.v. gemiddelde prijs bestaande bewoners</t>
  </si>
  <si>
    <t>5.4 Opstappen bestaande bewoners</t>
  </si>
  <si>
    <t>jaar1</t>
  </si>
  <si>
    <t>jaar2 e.v.</t>
  </si>
  <si>
    <t xml:space="preserve">
Huidige</t>
  </si>
  <si>
    <t xml:space="preserve">
Aangevraagd</t>
  </si>
  <si>
    <t xml:space="preserve">
Verhoging</t>
  </si>
  <si>
    <t>procentueel</t>
  </si>
  <si>
    <t xml:space="preserve">6. </t>
  </si>
  <si>
    <t>Andere toeslagen</t>
  </si>
  <si>
    <t>A. Toeslagen gevraagd bovenop de dagprijzen (*)</t>
  </si>
  <si>
    <t>belangrijke opmerkingen:</t>
  </si>
  <si>
    <t>- (*) de posten die hier niet worden vermeld, worden onherroepelijk beschouwd als zijnde inbegrepen in de dagprijzen;</t>
  </si>
  <si>
    <t>- de verhoging van bestaande toeslagen en de facturatie als toeslag van producten of diensten die voorheen inbegrepen</t>
  </si>
  <si>
    <t>waren in de dagprijzen, moeten voorafgaandelijk worden aangevraagd.</t>
  </si>
  <si>
    <t>Motivatie voor de verhoging van het (de) supplement(en):</t>
  </si>
  <si>
    <t>Verplicht in te vullen!</t>
  </si>
  <si>
    <t>De hieronder ingevulde tekst moet volledig zichtbaar zijn!</t>
  </si>
  <si>
    <t xml:space="preserve">B. Beschrijving toeslagen  die bovenop de dagprijzen </t>
  </si>
  <si>
    <t>aangerekend worden als voorgeschoten kosten</t>
  </si>
  <si>
    <t>(= zonder marge van de voorziening)</t>
  </si>
  <si>
    <r>
      <t xml:space="preserve">C. Opsomming van alle kortingen die gegeven worden </t>
    </r>
    <r>
      <rPr>
        <sz val="10"/>
        <rFont val="Arial"/>
        <family val="2"/>
      </rPr>
      <t>(aangeven onder welke voorwaarden deze gegeven worden, welk bedrag of</t>
    </r>
  </si>
  <si>
    <t xml:space="preserve">      percentage en voor welke periode)</t>
  </si>
  <si>
    <t>Korting voor :</t>
  </si>
  <si>
    <t>Huidige</t>
  </si>
  <si>
    <t xml:space="preserve">Aangevraagd </t>
  </si>
  <si>
    <t>handtekening :</t>
  </si>
  <si>
    <t>Navigatie:</t>
  </si>
  <si>
    <t xml:space="preserve">Checks </t>
  </si>
  <si>
    <t>Check</t>
  </si>
  <si>
    <t>Vereiste actie:</t>
  </si>
  <si>
    <t>A. Invoer</t>
  </si>
  <si>
    <t>Generieke input:</t>
  </si>
  <si>
    <t>1. Datum aanvraag ingevuld?</t>
  </si>
  <si>
    <t>2. Identifcatie volledig?</t>
  </si>
  <si>
    <t>3.1 Capaciteiten volgens aanleiding prijsaanvraag:</t>
  </si>
  <si>
    <t>Kloppen de capaciteiten (deelcapaciteiten niet hoger dan totaal)?</t>
  </si>
  <si>
    <t>Geen combinatie van CDV of GAW met andere zorgvormen?</t>
  </si>
  <si>
    <t>4. Werd jaar van het aanvangsbevel ingevuld?</t>
  </si>
  <si>
    <t>Formulier 1A: Infrastructuur met forfait</t>
  </si>
  <si>
    <t>Werd deze kosteninvoer  gekozen onder generieke input?</t>
  </si>
  <si>
    <t>Indien ja, werden volgende gegevens ingevuld:</t>
  </si>
  <si>
    <t>1.1 kamergerelateerde investeringen</t>
  </si>
  <si>
    <t>1.2 andere investeringen</t>
  </si>
  <si>
    <t>1.3 personeelskosten</t>
  </si>
  <si>
    <t>1.4 producten en diensten en diverse leveringen</t>
  </si>
  <si>
    <t>2.1 evaluatie dagprijzen:  nieuwe bewoners: capaciteiten</t>
  </si>
  <si>
    <t>2.1 evaluatie dagprijzen: nieuwe bewoners: dagprijs in nieuwe infrastructuur na aftrek forfait</t>
  </si>
  <si>
    <t>2.2 evaluatie dagprijzen: bestaande bewoners: capaciteiten</t>
  </si>
  <si>
    <t>2.2 evaluatie dagprijzen: bestaande bewoners: dagprijs in nieuwe infrastructuur na aftrek forfait</t>
  </si>
  <si>
    <t>Formulier 1B: Infrastructuur zonder forfait</t>
  </si>
  <si>
    <t>1.2 nieuwe investeringen in dagprijs: aanwezig?</t>
  </si>
  <si>
    <t>1.2 nieuwe investeringen in dagprijs: terecht gebruik van dit formulier?</t>
  </si>
  <si>
    <t>2.1 evaluatie dagprijzen: nieuwe bewoners: capaciteiten</t>
  </si>
  <si>
    <t>2.1 evaluatie dagprijzen: nieuwe bewoners: dagprijs in nieuwe infrastructuur</t>
  </si>
  <si>
    <t>2.2 evaluatie dagprijzen: bestaande bewoners: dagprijs in nieuwe infrastructuur</t>
  </si>
  <si>
    <t>Werden investeringskosten ingevuld onder rubriek 3:</t>
  </si>
  <si>
    <t>Indien investeringskosten werden ingevuld onder rubriek 3,  kan er geen prijsaanvraag worden gevraagd voor marge-evolutie:</t>
  </si>
  <si>
    <t>Indien neen en als voor deze kosteninvoer werd gekozen, werden dan de nodige gegevens ingevuld voor marge-evolutie:</t>
  </si>
  <si>
    <t>1. Resultatenrekening: werd het jaartal van het laatst beschikbare boekjaar ingevuld?</t>
  </si>
  <si>
    <t>1. Resultatenrekening: werden de kosten en opbrengsten van de laatste 2 jaar  ingevuld?</t>
  </si>
  <si>
    <t>2.1 Marge-evolutie - toetsing criteria: werd de gewogen gemiddelde dagprijs van de voorziening ingevuld?</t>
  </si>
  <si>
    <t>5.1 evaluatie dagprijzen: nieuwe bewoners: capaciteiten</t>
  </si>
  <si>
    <t>5.1 evaluatie dagprijzen: nieuwe bewoners: dagprijs in nieuwe infrastructuur</t>
  </si>
  <si>
    <t>5.2 evaluatie dagprijzen: bestaande bewoners: capaciteiten</t>
  </si>
  <si>
    <t>5.2 evaluatie dagprijzen: bestaande bewoners: huidige dagprijs</t>
  </si>
  <si>
    <t>5.2 evaluatie dagprijzen: bestaande bewoners: dagprijs in nieuwe infrastructuur</t>
  </si>
  <si>
    <t>B. Documenten</t>
  </si>
  <si>
    <t>1A-Infrastructuur met forfait</t>
  </si>
  <si>
    <t>Exceloverzicht van alle investeringskosten met vermelding van het bedrag, het verantwoordingsstuk en daarnaast de referentie voor het verantwoordingsstuk. Gebruik best een apart tabblad en evt. het standaard voorziene tabblad "Bijlage investeringsoverzicht"</t>
  </si>
  <si>
    <t>1B-Infrastructuur zonder forfait</t>
  </si>
  <si>
    <t>Indien aanvraag voor marge-evolutie, gelieve aan te leveren:</t>
  </si>
  <si>
    <t>Dagprijsaanvraag: samenvatting</t>
  </si>
  <si>
    <t>Dossiernr ZG</t>
  </si>
  <si>
    <t>Ondernemingsnummer</t>
  </si>
  <si>
    <t>3.1 Nieuwe bewoners</t>
  </si>
  <si>
    <t>Formulier 1 met forfait</t>
  </si>
  <si>
    <t>Kamertype</t>
  </si>
  <si>
    <t>aantal</t>
  </si>
  <si>
    <t>dagprijs na aftrek forfait</t>
  </si>
  <si>
    <t>brutoprijs
 (vóór aftrek forfait)</t>
  </si>
  <si>
    <t>Formulier 1 zonder forfait</t>
  </si>
  <si>
    <t>dagprijs</t>
  </si>
  <si>
    <t>3.2 Bestaande bewoners</t>
  </si>
  <si>
    <t>dagprijs na forfait</t>
  </si>
  <si>
    <t>brutodagprijs (vóór aftrek forfait)</t>
  </si>
  <si>
    <t>Naam en functie van de ondertekenaar(s) :</t>
  </si>
  <si>
    <t>Naam:</t>
  </si>
  <si>
    <t>Functie:</t>
  </si>
  <si>
    <t>Checklist componenten overheidstussenkomsten</t>
  </si>
  <si>
    <t>Terug naar algemene richtlijnen</t>
  </si>
  <si>
    <t>Generieke input</t>
  </si>
  <si>
    <t>berekend</t>
  </si>
  <si>
    <t>afschrijvingstermijnen</t>
  </si>
  <si>
    <t>bedragen</t>
  </si>
  <si>
    <t>keuken</t>
  </si>
  <si>
    <t>AF99</t>
  </si>
  <si>
    <t>Kolommen G, I-K worden berekend: niet overschrijven</t>
  </si>
  <si>
    <t>Aftopping bij bovengemiddelde woonzorgcentra</t>
  </si>
  <si>
    <r>
      <rPr>
        <sz val="11"/>
        <rFont val="Calibri"/>
        <family val="2"/>
        <scheme val="minor"/>
      </rPr>
      <t xml:space="preserve">1) Basistegemoetkoming voor zorg van jaar voor de aanvraag 
Personeelskosten
• Zorgpersoneel: verpleegkundigen, zorgkundigen, kinesitherapeuten, logopedisten, ergotherapeuten, personeel voor reactivering (delen A1,A2, A3, B1, B2, C, E1, E2, E3, E4, F, H, M)
• Financiering van coördinerend arts in het woonzorgcentrum met bijkomende erkenning  
• Financiering ondersteunend personeel (deel K)
</t>
    </r>
    <r>
      <rPr>
        <sz val="11"/>
        <color theme="1"/>
        <rFont val="Calibri"/>
        <family val="2"/>
        <scheme val="minor"/>
      </rPr>
      <t xml:space="preserve">
Om versleutelingsproblemen te vermijden mag op niveau van het personeel ook inbegrepen zijn:
•  Financiering van verzorgingsmateriaal       
•  Financiering van opleiding  
Naast de pure basistegemoetkoming zorg:
- tegemoetkoming incontinentiemateriaal
- tegemoetkoming OCVK           
2) tegemoetkoming vrijstelling van arbeidsprestaties en eindeloopbaan: vergoeding premie voor sommige werknemers die kiezen voor behoud de arbeidsprestaties vanaf de leeftijd van 45 jaar of voor de vervangers als die werknemers kiezen voor vermindering van de arbeidsprestaties. Laatst gekende rechtenbedrag = 4 voorschotten + bedrag afrekening van de volgende referentieperiode 
3) Fonds Sociale Maribel: laatst ontvangen inkomsten 
4) Aanvullende financiering (niet voor nieuwe voorzieningen of voor extra capaciteit)
• Bovennorm zorg: laatst gekende rechtenbedrag 
• Ondersteunend personeel: laatst gekende rechtenbedrag 
5) Loonsverhoging VIA5+VIA6: 6,96% van de personeelskost, dit zit verwerkt in IFIC
6)  DAC- en Gesco-tussenkomsten cfr. uitbetaald bedrag voor het jaar voorafgaand aan het jaar waarin de aanvraag wordt ingediend (niet voor nieuwe voorzieningen of voor extra capaciteit)
7) Andere: 
• Nomenclatuur-inkomsten (bvb. kiné-ROB)
• Financiering bijkomende erkenning oriënterend centrum voor kortverblijf 
• Financiering bijzondere erkenning voor de zorg en ondersteuning van personen met jongdementie
• Syndicale premie
</t>
    </r>
  </si>
  <si>
    <t>In geval van een woonzorgcentrum/CVK:</t>
  </si>
  <si>
    <t>In geval van een centrum voor dagverzorging (CDV):</t>
  </si>
  <si>
    <t>basistegemoetkoming zorg</t>
  </si>
  <si>
    <t>tegemoetkoming reiskosten</t>
  </si>
  <si>
    <t>werkingssubsidies CDV</t>
  </si>
  <si>
    <t>999999999999999</t>
  </si>
  <si>
    <t>3) Controleer het tabblad "Checklist"</t>
  </si>
  <si>
    <t>Formulier 2</t>
  </si>
  <si>
    <t>met IFF</t>
  </si>
  <si>
    <t>zonder IFF</t>
  </si>
  <si>
    <t>2.1 Aangevraagde dagprijzen voor nieuwe bewoners</t>
  </si>
  <si>
    <t>Prijsaanvraag infrastructuur zonder infrastructuurforfait</t>
  </si>
  <si>
    <r>
      <t xml:space="preserve">Voeg tabblad met investeringsoverzicht met kostencomponenten en verantwoordingsstukken toe, of maak gebruik van het standaard voorziene tabblad </t>
    </r>
    <r>
      <rPr>
        <b/>
        <sz val="11"/>
        <rFont val="Calibri"/>
        <family val="2"/>
        <scheme val="minor"/>
      </rPr>
      <t>"bijlage investeringsoverzicht"</t>
    </r>
    <r>
      <rPr>
        <sz val="11"/>
        <rFont val="Calibri"/>
        <family val="2"/>
        <scheme val="minor"/>
      </rPr>
      <t>. Hierna worden de verantwoordingsstukken steekproefgewijs opgevraagd.</t>
    </r>
  </si>
  <si>
    <t>Totaal waarvoor
prijsaanvraag</t>
  </si>
  <si>
    <t xml:space="preserve">Reden: CDV en GAW hebben elk een aparte erkenning, waarvoor dan een apart formulier moet worden ingediend. </t>
  </si>
  <si>
    <t>Ze kunnen dus noch met elkaar, noch met het WZC/KV gecombineerd worden voor de prijsaanvraag.</t>
  </si>
  <si>
    <t>Indien formulier 2, aanvraag voor:</t>
  </si>
  <si>
    <t>kamerbediening (buiten medische redenen)</t>
  </si>
  <si>
    <t>formulier 2</t>
  </si>
  <si>
    <t>De nieuwe aanvraag moet betrekking hebben op andere bewoners dan die waarvoor de vorige aanvraag werd ingediend, tenzij er minimaal twee jaar is verstreken ten opzichte van de vorige aanvraag.</t>
  </si>
  <si>
    <t>Erkende  capaciteit</t>
  </si>
  <si>
    <t>Tabblad 1A (a)</t>
  </si>
  <si>
    <t>Investeringsproject met min.50% van de investeringen, afschrijvingsduur minimaal 20 jaar? (b)</t>
  </si>
  <si>
    <t>Tabblad 1B (c)</t>
  </si>
  <si>
    <t>Formulier 2 (d): kies tussen:
- marge-evolutie
- andere aanleidingen</t>
  </si>
  <si>
    <t>3.1 Capaciteiten  volgens aanleiding prijsaanvraag</t>
  </si>
  <si>
    <t>5.1 Aangevraagde dagprijzen per kamertype voor nieuwe bewoners</t>
  </si>
  <si>
    <t>5.2 Aangevraagde dagprijzen bestaande bewoners (vertrekbasis = dagprijs per kamertype in de oude voorziening)</t>
  </si>
  <si>
    <t>Vermeld hier  de dagprijzen indien de capaciteit volledig bewoond zou zijn door nieuwe bewoners. Vermeld per kamertype de capaciteit en de gevraagde dagprijs. Indien er eerder een infrastructuurforfait werd toegekend, is de gevraagde dagprijs na aftrek van dit infrastructuurforfait. Het gemiddelde van die dagprijs mag de verantwoorde kost niet overstijgen. U vindt die terug in rubriek 5.3, onder goedgekeurde maximale gemiddelde dagprijs.</t>
  </si>
  <si>
    <t>Gevraagde dagprijs  (na evt. infrastructuurforfait)</t>
  </si>
  <si>
    <t>Nieuwe investeringen (geen drastische investeringen)</t>
  </si>
  <si>
    <t>1A</t>
  </si>
  <si>
    <t>De zorgvormen zijn:</t>
  </si>
  <si>
    <t>Er moeten ten opzichte van een vorige aanvraag minstens 365 dagen verstreken zijn vooraleer een nieuwe aanvraag kan worden ingediend.</t>
  </si>
  <si>
    <t>Een aanvraag voor een prijsbepaling of prijsverhoging van extra vergoedingen kan voor alle bewoners wel al na 365 dagen worden ingediend.</t>
  </si>
  <si>
    <t>Interferentie met indexatie:</t>
  </si>
  <si>
    <t>Hou rekening met:  de mogelijkheden  qua combinaties, de fasering van de prijsaanvragen en interferentie met indexatie:</t>
  </si>
  <si>
    <t xml:space="preserve">Die indexatie kan niet samenvallen met de prijsaanvraag. </t>
  </si>
  <si>
    <t>Stappenplan:</t>
  </si>
  <si>
    <t>Welke zijn de zorgvormen en aanleidingen voor prijsaanvraag?</t>
  </si>
  <si>
    <r>
      <t xml:space="preserve">Binnen de excel voor het woonzorgcentrum zijn er </t>
    </r>
    <r>
      <rPr>
        <b/>
        <sz val="11"/>
        <color theme="1"/>
        <rFont val="Calibri"/>
        <family val="2"/>
        <scheme val="minor"/>
      </rPr>
      <t>2 aanleidingen</t>
    </r>
    <r>
      <rPr>
        <sz val="11"/>
        <color theme="1"/>
        <rFont val="Calibri"/>
        <family val="2"/>
        <scheme val="minor"/>
      </rPr>
      <t xml:space="preserve"> voor prijsaanvraag: (1)</t>
    </r>
    <r>
      <rPr>
        <b/>
        <sz val="11"/>
        <color theme="1"/>
        <rFont val="Calibri"/>
        <family val="2"/>
        <scheme val="minor"/>
      </rPr>
      <t xml:space="preserve"> infrastructuurforfait </t>
    </r>
    <r>
      <rPr>
        <sz val="11"/>
        <color theme="1"/>
        <rFont val="Calibri"/>
        <family val="2"/>
        <scheme val="minor"/>
      </rPr>
      <t>en (2) i</t>
    </r>
    <r>
      <rPr>
        <b/>
        <sz val="11"/>
        <color theme="1"/>
        <rFont val="Calibri"/>
        <family val="2"/>
        <scheme val="minor"/>
      </rPr>
      <t>nvesteringen voor bewoners zonder infrastructuurforfait</t>
    </r>
  </si>
  <si>
    <t>Van de investeringen toewijsbaar aan de GAW, wordt 60% op 25 jaar afgeschreven.</t>
  </si>
  <si>
    <t>Voor het woonzorgcentrum dienen we voor elke aanleiding en dus 2 maal de beslissingsboom te doorlopen:</t>
  </si>
  <si>
    <r>
      <t xml:space="preserve">Eerste prijsaanvraag voor </t>
    </r>
    <r>
      <rPr>
        <b/>
        <sz val="11"/>
        <rFont val="Calibri"/>
        <family val="2"/>
        <scheme val="minor"/>
      </rPr>
      <t>eerste toekenning infrastructuurforfait</t>
    </r>
    <r>
      <rPr>
        <sz val="11"/>
        <rFont val="Calibri"/>
        <family val="2"/>
        <scheme val="minor"/>
      </rPr>
      <t xml:space="preserve"> of nieuwe aanvraag m.b.t. </t>
    </r>
    <r>
      <rPr>
        <b/>
        <sz val="11"/>
        <rFont val="Calibri"/>
        <family val="2"/>
        <scheme val="minor"/>
      </rPr>
      <t>drastische investeringen voor bewoners met reeds infrastructuurforfait</t>
    </r>
    <r>
      <rPr>
        <sz val="11"/>
        <rFont val="Calibri"/>
        <family val="2"/>
        <scheme val="minor"/>
      </rPr>
      <t>?</t>
    </r>
  </si>
  <si>
    <t>Case A:</t>
  </si>
  <si>
    <t>Case A (zelfde uitgangspunten als hiervoor):</t>
  </si>
  <si>
    <t>Het woonzorgcentrum maakt 3 jaar later verlies. De zorgvorm is het woonzorgcentrum waarvoor dus 1 excel wordt ingediend.</t>
  </si>
  <si>
    <t>Case B: 3 jaar later</t>
  </si>
  <si>
    <t>Case C: 3 jaar later</t>
  </si>
  <si>
    <t>Het woonzorgcentrum besluit voor de bewoners waarvoor 3 jaar terug al een infrastructuurforfait was bekomen, een keuken te bouwen. De keuken wordt afgeschreven op 25 jaar.</t>
  </si>
  <si>
    <t>- woonzorgcentrum inclusief kortverblijf;</t>
  </si>
  <si>
    <t>- groep van assistentiewoningen.</t>
  </si>
  <si>
    <t>- infrastructuurforfait: eerste toekenning;</t>
  </si>
  <si>
    <t>- drastische investeringen: geheel van investeringen waarvan minimaal 50% minimaal op twintig jaar wordt afgeschreven;</t>
  </si>
  <si>
    <t>- niet-drastische investeringen: geheel van investeringen waarvan minder dan 50% minimaal op twintig jaar wordt afgeschreven;</t>
  </si>
  <si>
    <t>- marge-evolutie;</t>
  </si>
  <si>
    <t>- andere aanleidingen (zoals supplement in dagprijs of andere toeslagen).</t>
  </si>
  <si>
    <t>Voor dezelfde bewoners is het niet mogelijk om tabbladen 1A en 1B te combineren.</t>
  </si>
  <si>
    <t>Bij overschrijding van de spilindex , dan kan prijs (vóór eventuele aftrek van een infrastructuurforfait) worden geïndexeerd binnen de periode van 365 dagen.</t>
  </si>
  <si>
    <r>
      <rPr>
        <b/>
        <sz val="11"/>
        <color theme="1"/>
        <rFont val="Calibri"/>
        <family val="2"/>
        <scheme val="minor"/>
      </rPr>
      <t>Stap 1:</t>
    </r>
    <r>
      <rPr>
        <sz val="11"/>
        <color theme="1"/>
        <rFont val="Calibri"/>
        <family val="2"/>
        <scheme val="minor"/>
      </rPr>
      <t xml:space="preserve"> U verdeelt de kosten over de verschillende </t>
    </r>
    <r>
      <rPr>
        <b/>
        <sz val="11"/>
        <color theme="1"/>
        <rFont val="Calibri"/>
        <family val="2"/>
        <scheme val="minor"/>
      </rPr>
      <t>zorgvormen</t>
    </r>
    <r>
      <rPr>
        <sz val="11"/>
        <color theme="1"/>
        <rFont val="Calibri"/>
        <family val="2"/>
        <scheme val="minor"/>
      </rPr>
      <t xml:space="preserve"> en </t>
    </r>
    <r>
      <rPr>
        <b/>
        <sz val="11"/>
        <color theme="1"/>
        <rFont val="Calibri"/>
        <family val="2"/>
        <scheme val="minor"/>
      </rPr>
      <t xml:space="preserve">aanleidingen </t>
    </r>
    <r>
      <rPr>
        <sz val="11"/>
        <color theme="1"/>
        <rFont val="Calibri"/>
        <family val="2"/>
        <scheme val="minor"/>
      </rPr>
      <t>waarvoor u een prijsaanvraag wenst in te dienen.</t>
    </r>
  </si>
  <si>
    <r>
      <t>De zorgvormen zijn enerzijds het</t>
    </r>
    <r>
      <rPr>
        <b/>
        <sz val="11"/>
        <color theme="1"/>
        <rFont val="Calibri"/>
        <family val="2"/>
        <scheme val="minor"/>
      </rPr>
      <t xml:space="preserve"> woonzorgcentrum</t>
    </r>
    <r>
      <rPr>
        <sz val="11"/>
        <color theme="1"/>
        <rFont val="Calibri"/>
        <family val="2"/>
        <scheme val="minor"/>
      </rPr>
      <t xml:space="preserve"> en anderzijds </t>
    </r>
    <r>
      <rPr>
        <b/>
        <sz val="11"/>
        <color theme="1"/>
        <rFont val="Calibri"/>
        <family val="2"/>
        <scheme val="minor"/>
      </rPr>
      <t>de groep van assistentiewoningen</t>
    </r>
    <r>
      <rPr>
        <sz val="11"/>
        <color theme="1"/>
        <rFont val="Calibri"/>
        <family val="2"/>
        <scheme val="minor"/>
      </rPr>
      <t>. Per zorgvorm vult u dus een excel in en dus 2 excels in totaal voor dit voorbeeld.</t>
    </r>
  </si>
  <si>
    <t>dit tabblad bevat de identificatie en de capaciteitsgegevens waarvoor voor 1 of meerdere aanleidingen een prijsaanvraag wordt ingediend</t>
  </si>
  <si>
    <t>klik op de links in generieke input 
(rubriek 3.1)</t>
  </si>
  <si>
    <t>Naam inrichtende macht</t>
  </si>
  <si>
    <t>naam voorziening</t>
  </si>
  <si>
    <t>straat +nr, postcode + gemeente</t>
  </si>
  <si>
    <t>xxxx/xx xx xx</t>
  </si>
  <si>
    <t>naam@extensie.be</t>
  </si>
  <si>
    <t>voornaam + naam</t>
  </si>
  <si>
    <t>kolommen C-D: niet in te vullen</t>
  </si>
  <si>
    <t>niet in te vullen</t>
  </si>
  <si>
    <t>gelieve te selecteren in het  uitklapveld</t>
  </si>
  <si>
    <t>bron:</t>
  </si>
  <si>
    <t>berekeningswijze</t>
  </si>
  <si>
    <t>voorbeeld:</t>
  </si>
  <si>
    <t xml:space="preserve">2) sectorale bezettingscijfers </t>
  </si>
  <si>
    <t>WZC:</t>
  </si>
  <si>
    <t>vaste prijs: 40 euro + 25% = 50 euro</t>
  </si>
  <si>
    <t>doel:</t>
  </si>
  <si>
    <t>bepaling financieringskost</t>
  </si>
  <si>
    <t>doorrekening van de kosten gebeurt op basis van de bezettingsgraad</t>
  </si>
  <si>
    <t>beperking dagprijsstijging voor voorzieningen met bovengemiddelde dagprijs</t>
  </si>
  <si>
    <t>be.STAT (fgov.be)</t>
  </si>
  <si>
    <t xml:space="preserve">doel: </t>
  </si>
  <si>
    <t>toetsing woonzorgcentra met bovengemiddelde dagprijs</t>
  </si>
  <si>
    <t>meest actuele referentieperiode van:</t>
  </si>
  <si>
    <t>Infrastructuurforfait (zorg-en-gezondheid.be)</t>
  </si>
  <si>
    <t>berekeningswijze:</t>
  </si>
  <si>
    <t>jaarljkse bevraging van mei voorgaand jaar</t>
  </si>
  <si>
    <t xml:space="preserve">De parameters zoals hieronder vermeld, worden verder in 1 of meerdere prijsaanvragen gebruikt. Belangrijk is dat de parameters maar 1 maal per jaar worden geactualiseerd en dan voor een volledig jaar gelden. De informatie hierna is enkel ter consultatie. </t>
  </si>
  <si>
    <t>Parameters voor het jaar:</t>
  </si>
  <si>
    <t>Dit kostentabblad '1A' wordt ingevuld naar aanleiding van de investeringen die u uitvoert om  het infrastructuurforfait te kunnen bekomen. Dit formulier wordt ook gebruikt voor drastische investeringen voor bewoners met een reeds lopend infrastructuurforfait (i.e. waarvoor in het verleden reeds de prijsaanvraag en het infrastructuurforfait werden goedgekeurd). Indien u voor bewoners met een lopend infrastructuurforfait voor een andere aanleiding dan drastische investeringen een prijsaanvraag wenst in te dienen, dan hanteert u het formulier 2.</t>
  </si>
  <si>
    <t>Vermeld hier voor de kamers in de vernieuwde infrastructuur waarop het forfait van toepassing is,  de dagprijzen na aftrek van het forfait die u zou willen hanteren indien die forfaitgerechtigde capaciteit volledig bewoond zou zijn door nieuwe bewoners. 
Vermeld per kamertype de forfaitgerechtigde capaciteit (kolom E) en de nettodagprijs (=prijs na aftrek van het forfait, kolom F). In de kolom G,  "Brutodagprijs" wordt de dagprijs zonder aftrek van het forfait berekend.
Het totaal van de forfaitgerechtigde capaciteit moet overeenstemmen met wat in de "Generieke Input" werd vermeld in cel F36.
Het deel van de verantwoorde kosten met betrekking tot de niet-forfaitgerechtigde capaciteit dient hetzij via 1B (indien geheel van toewijsbare investeringen drastische investeringen zijn) of via formulier 2 (indien geen drastische investeringen) te
worden verrekend.
De gevraagde dagprijzen na aftrek forfait worden slechts aanvaard indien het gemiddelde hiervan niet hoger ligt dan de "verantwoorde prijs na aftrek forfait" (cel E133).</t>
  </si>
  <si>
    <t>Dit onderdeel wordt ingevuld voor de bewoners zonder infrastructuurforfait waarvoor drastische investeringen worden gerealiseerd waarvan minimaal de helft wordt afgeschreven over een looptijd van minimaal twintig jaar. Indien de investeringen hieraan niet voldoen, dient u het formulier 2 te hanteren. Voor dezelfde bewoners kan u formulier 1 voor investeringen en formulier 2 voor marge-evolutie niet simultaan gebruiken. U zal een keuze moeten maken welk formulier eerst gehanteerd wordt en een volgende aanvraag voor de andere aanleiding kan maar na twee jaar.</t>
  </si>
  <si>
    <t>1/7/2022-30/6/2023</t>
  </si>
  <si>
    <r>
      <rPr>
        <b/>
        <sz val="11"/>
        <color theme="1"/>
        <rFont val="Calibri"/>
        <family val="2"/>
        <scheme val="minor"/>
      </rPr>
      <t>berekeningswijze:</t>
    </r>
    <r>
      <rPr>
        <sz val="11"/>
        <color theme="1"/>
        <rFont val="Calibri"/>
        <family val="2"/>
        <scheme val="minor"/>
      </rPr>
      <t xml:space="preserve"> enkel bij overschrijden van een veelvoud van 0,5 euro worden deze opstappen aangepast aan de afgevlakte gezondheidsindex</t>
    </r>
  </si>
  <si>
    <t>Resultatenrekening (extracomptabel) van de betrokken zorgvorm (woonzorgcentrum en kortverblijf, DVC, GAW)</t>
  </si>
  <si>
    <t xml:space="preserve">Indien u een dagprijsverhoging voor marge-evolutie wenst, dan dient u naast de jaarrekening onder (1),  onder (2.1) voor het WZC inclusief kortverblijf en de GAW op rij 55 de huidige gewogen gemiddelde dagprijs van uw voorziening in te vullen.  
In het eerste luik (2.1) worden vervolgens de criteria getoetst. Basisvoorwaarde is dat de marge gedurende de 2 afgelopen boekjaren minder dan 2,5% bedroeg, wat door de excel wordt afgetoetst op basis van de resultatenrekening onder rubriek 1. Daarnaast zal (a) de gewogen gemiddelde dagprijs van uw voorziening (zoals bepaald in het kader van de bevraging van het departement zorg) worden vergeleken met (b) de gewogen gemiddelde dagprijs van de private sector voor de WZC en KV of een vaste referentieprijs voor de GAW. Indien (a) hoger ligt dan 125% van (b), dan wordt uw voorziening beschouwd als een voorziening met een bovengemiddelde dagprijs. Dit vereist dan een bijkomende toets van de evolutie van huurkost, afschrijvingen en intrest. Deze kosten mogen samen over de afgelopen 4 jaar niet sterker geëvolueerd zijn dan de afgevlakte gezondheidsindex.Indien dit toch het geval is, dient aangetoond te worden dat er  significante investeringen werden uitgevoerd.
In het tweede luik (2.2) wordt de dagprijsverhoging bepaald die nodig zou zijn om vertrekkend van het laatst beschikbare boekjaar, tot een marge van 2,5% te kunnen komen. 
Ten eerste wordt daartoe de vereiste toename van de % marge  (B) berekend door het verschil te berekenen tussen 2,5% en de marge van het laatste beschikbare boekjaar (A).
Ten tweede wordt die vereiste margetoename (B) verrekend op de werkingsopbrengsten van het laatst beschikbare boekjaar om de extra benodigde werkingsopbrengsten (C) te berekenen: C=B x werkingsopbrengsten.
Ten derde worden de zo berekende extra benodigde werkingsopbrengsten vertaald in een dagprijstoename o.b.v. de bezettingsgraad  (D) zoals bepaald in "Generieke Input" en het aantal woongelegenheden (E) waarover die wordt gespreid. 
Ten vierde wordt in geval van de onder 2.1 bepaalde voorziening met reeds een bovengemiddelde dagprijs, de dagprijsstijging afgetopt op een percentage van de gewogen gemiddelde dagprijs van de private sector + 25% (GGDP) of de referentieprijs voor de GAW. Het voornoemde percentage bedraagt 5% indien er in het laatste boekjaar een marge was tussen 0% en 2,5% (beperkt resultaat) en 10% indien het laatste boekjaar een negatieve marge toonde.
</t>
  </si>
  <si>
    <t>verantwoording evolutie huurkost, afschrijvingen en intrestlast</t>
  </si>
  <si>
    <t>aantal dagen (berekend)</t>
  </si>
  <si>
    <t>aantal woongelegenheden</t>
  </si>
  <si>
    <t>huidige gewogen gemiddelde dagprijs van de voorziening (na aftrek infrastructuurforfait)</t>
  </si>
  <si>
    <t>dagprijsbevraging = prijs na aftrek van het infrastructuurforfait</t>
  </si>
  <si>
    <t>2.1 evaluatie dagprijzen: dagprijzen ingevuld?</t>
  </si>
  <si>
    <t>Formulier 2:  andere: alle zorgvormen</t>
  </si>
  <si>
    <t>Bij alle aanvragen voegt u een verslag van de gebruikersraad.</t>
  </si>
  <si>
    <t>Daarnaast zijn er er nog volgende specifieke documenten per prijsaanvraag:</t>
  </si>
  <si>
    <t>Formulier 2 alle zorgvormen</t>
  </si>
  <si>
    <t>Formulier 2: alle zorgvormen</t>
  </si>
  <si>
    <t>max. 1 jaar (*)</t>
  </si>
  <si>
    <t>(*) prijzen na eventueel infrastructuurforfait indien voorkomend</t>
  </si>
  <si>
    <t>(*) het cijfer in de laatste kolom duidt het onderscheid tussen:</t>
  </si>
  <si>
    <t>(*) dagprijs na  eventuele aftrek van infrastructuurforfait (indien voorkomend)</t>
  </si>
  <si>
    <t>goedgekeurde maximale gemiddelde dagprijs (na eventuele aftrek van het infrastructuurforfait)</t>
  </si>
  <si>
    <t>Huidige gemiddelde dagprijs (na eventuele aftrek van het infrastructuurforfait)</t>
  </si>
  <si>
    <t>Indien ontbrekend, kan vertrokken worden van het hogere beschikbare niveau, waarop dan vervolgens een verdeelsleutel wordt toegepast.</t>
  </si>
  <si>
    <r>
      <t xml:space="preserve">Binnen het woonzorgcentrum zijn er enerzijds kamerinvesteringen om voor die betrokken bewoners het </t>
    </r>
    <r>
      <rPr>
        <b/>
        <sz val="11"/>
        <color theme="1"/>
        <rFont val="Calibri"/>
        <family val="2"/>
        <scheme val="minor"/>
      </rPr>
      <t>infrastructuurforfait</t>
    </r>
    <r>
      <rPr>
        <sz val="11"/>
        <color theme="1"/>
        <rFont val="Calibri"/>
        <family val="2"/>
        <scheme val="minor"/>
      </rPr>
      <t xml:space="preserve"> te bekomen en anderzijds collectieve investeringen die </t>
    </r>
    <r>
      <rPr>
        <b/>
        <sz val="11"/>
        <color theme="1"/>
        <rFont val="Calibri"/>
        <family val="2"/>
        <scheme val="minor"/>
      </rPr>
      <t>alle bewoners</t>
    </r>
    <r>
      <rPr>
        <sz val="11"/>
        <color theme="1"/>
        <rFont val="Calibri"/>
        <family val="2"/>
        <scheme val="minor"/>
      </rPr>
      <t xml:space="preserve"> ten goede komen.</t>
    </r>
  </si>
  <si>
    <t>De collectieve investeringen die alle bewoners van het woonzorgcentrum ten goede komen, worden integraal op minder dan twintig jaar afgeschreven.</t>
  </si>
  <si>
    <t>De capaciteit in de prijsaanvraag/aanvragen  ligt niet hoger dan de totale capaciteit?</t>
  </si>
  <si>
    <t>Enkel de blauw aangeduide cellen kunnen (indien nodig) worden ingevuld</t>
  </si>
  <si>
    <t>rekenkundig gemiddelde van de OLO (obligation linéaire, lineaire obligatie) op 10 jaar op basis van de waarnemingen in de maand december van het jaar voorafgaand aan het aanvangsbevel</t>
  </si>
  <si>
    <t>Enkel de lichtblauw gekleurde velden dienen te worden ingevuld</t>
  </si>
  <si>
    <t>dit stemt overeen met de capaciteit v/h forfait zoals bepaald in het tabblad "Generieke input", rubriek 3.1</t>
  </si>
  <si>
    <t>is functie van de zorgvorm zoals bepaald in het tabblad "Generieke input", rubriek 3.2</t>
  </si>
  <si>
    <t>zie tabblad "Parameters + keuzes"</t>
  </si>
  <si>
    <t xml:space="preserve">voor de bouwkost werd gekozen voor hetzij (verwijder wat niet van toepassing is): eindafrekening / samenvattende vorderingsstaat/ geattesteerde afschrijvingstabel/  facturen/ gunningsbeslissing/ andere: ... 
</t>
  </si>
  <si>
    <t>vermeld de economische levensduur, hier kan u wel een afwijkende afschrijvingsduur invullen, maar deze dient wel gebaseerd te zijn op aanvaarde waarderingsregels</t>
  </si>
  <si>
    <r>
      <t xml:space="preserve">Deze rubriek heeft betrekking op alle personeel, inclusief het zelfstandige zorgpersoneel en uitzendpersoneel. Enkel de bestuurders worden aan de diensten en diverse leveringen toegerekend. 
Enkel het personeel voor de infrastructuurforfaitgerechtigde capaciteit mag hier worden ingevuld. In geval van uitbreiding van capaciteit zijn de VTE's, personeelskosten en bepaalde overheidstussenkomsten op kruissnelheid wanneer de volledige uitgebreide capaciteit wordt bereikt. Hierbij mag echter geen rekening gehouden worden met de toekomstige inflatie gedurende het groeipad naar die volledige capaciteit, gezien die achteraf bekomen wordt via de indexering van de dagprijs.
Vul hier per personeelscategorie op jaarbasis in: het aantal  VTE, personeelskost en overheidstussenkomst (=voor de laatste 2 is dit het totaalbedrag, niet het bedrag per verblijfsdag).
</t>
    </r>
    <r>
      <rPr>
        <b/>
        <u/>
        <sz val="11"/>
        <color rgb="FFFF0000"/>
        <rFont val="Calibri"/>
        <family val="2"/>
        <scheme val="minor"/>
      </rPr>
      <t>Personeelscategorieën:</t>
    </r>
    <r>
      <rPr>
        <sz val="11"/>
        <color rgb="FFFF0000"/>
        <rFont val="Calibri"/>
        <family val="2"/>
        <scheme val="minor"/>
      </rPr>
      <t xml:space="preserve">
- zorgpersoneel = verpleegkundigen, zorgkundigen (verzorgenden), kinesitherapeuten, logopedisten, ergotherapeuten, personeel voor reactivatie;
- administratief (inclusief directie), logistiek, technisch, poets- en keukenpersoneel: al het overige personeel dat niet tot de voorgaande categorie behoort
</t>
    </r>
    <r>
      <rPr>
        <b/>
        <u/>
        <sz val="11"/>
        <color rgb="FFFF0000"/>
        <rFont val="Calibri"/>
        <family val="2"/>
        <scheme val="minor"/>
      </rPr>
      <t>Personeelskost:</t>
    </r>
    <r>
      <rPr>
        <sz val="11"/>
        <color rgb="FFFF0000"/>
        <rFont val="Calibri"/>
        <family val="2"/>
        <scheme val="minor"/>
      </rPr>
      <t xml:space="preserve"> is brutoloonkost inclusief werkgeversbijdrage. Verzekeringen en andere overheadkosten worden hier niet vermeld, maar onder rubriek 1.4.
</t>
    </r>
    <r>
      <rPr>
        <b/>
        <u/>
        <sz val="11"/>
        <color rgb="FFFF0000"/>
        <rFont val="Calibri"/>
        <family val="2"/>
        <scheme val="minor"/>
      </rPr>
      <t>Overheidstussenkomsten:
Vul hier steeds het totaalbedrag en niet het bedrag per verblijfsdag in.</t>
    </r>
    <r>
      <rPr>
        <sz val="11"/>
        <color rgb="FFFF0000"/>
        <rFont val="Calibri"/>
        <family val="2"/>
        <scheme val="minor"/>
      </rPr>
      <t xml:space="preserve">
De basistegemoetkoming voor zorg die in mindering wordt gebracht, heeft ook betrekking op de tussenkomst voor niet-personeelskosten (de basistegemoetkoming voor zorg mag echter integraal in mindering gebracht worden op de personeelskosten, zodat dit niet meer moet versleuteld worden naar rubriek 1.4). 
Overheidstussenkomsten (zoals elementen sociale akkoorden) die betrekking hebben op verschillende personeelscategorieën probeert u toe te wijzen volgens de detailberekening of, indien niet mogelijk, via een logische verdeelsleutel. U dient uiteraard enkel de overheidstussenkomst in te vullen voor de personeelscategorieën waarop die betrekking heeft.
Belangrijk is dat alle componenten van de overheidstussenkomst worden opgenomen: voor een checklist zie tabblad "checklist overheidstussenkomst"</t>
    </r>
  </si>
  <si>
    <t xml:space="preserve">U bezorgt een extract uit de analytische boekhouding voor de betrokken componenten. Indien de prijsaanvraag slechts betrekking heeft op een deel van de totale capaciteit, dan versleutelt u de de kosten volgens het aandeel in de totale capaciteit.
Indien de analytische opdeling op niveau van de zorgvorm ontbreekt, kan vertrokken worden van het hogere beschikbare niveau, waarop dan vervolgens opnieuw een verdeelsleutel wordt toegepast die rekening houdt met het aandeel van de zorgvorm en de betrokken capaciteit waarvoor de prijsaanvraag wordt ingediend.
</t>
  </si>
  <si>
    <t>vermeld de economische levensduur die past binnen de waarderingsregel van de entiteit</t>
  </si>
  <si>
    <t>wordt automatisch overgenomen uit het tabblad Generieke input, rubriek 3.1</t>
  </si>
  <si>
    <t>wordt automatisch bepaald op basis van de zorgvorm, confer tabblad "Generieke input", rubriek 3.2</t>
  </si>
  <si>
    <t>U kan de lichtblauw gekleurde cellen invullen (waar nodig)</t>
  </si>
  <si>
    <t>Indien u een dagprijsverhoging wenst omwille van marge-evolutie, dan vult u het laatst beschikbaar boekjaar in E13 in en dient u hierna de opbrengsten en kosten in te voeren van de laatste  2 beschikbare boekjaren. Indien u het formulier gebruikt voor niet-drastische investeringen, dan vult u rubrieken 1&amp;2 niet in en vult u rubriek 3 in.  Vervolgens vult u in rubriek 2 de huidige gewogen gemiddelde dagprijs in.
Indien u de dagprijsverhoging slechts aanvraagt voor een deel van de bewoners terwijl de opbrengsten en kosten betrekking hebben op de volledige voorziening, dan dient u de opbrengsten en kosten  te prorateren in functie van het aantal bewoners waarop de dagprijsverhoging zal worden toegepast.  De marge-evolutie zal immers berekend worden op basis van de ingevoerde opbrengsten en kosten vóór uitzonderlijk resultaat,  zodat die uiteraard in verhouding moeten staan tot het aantal bewoners waarop de dagprijsverhoging betrekking zal hebben. 
Indien de resultatenrekening niet direct op het niveau van de zorgvorm kan worden bezorgd, dient er vertrokken te worden van de resultatenrekening op hoger niveau (dit kan van de rechtspersoon zijn of een analytische resultatenrekening/beleidsveld voor verschillende zorgvormen samen). Op basis van redelijke verdeelsleutels wordt uit die geaggregeerde resultatenrekening, de resultatenrekening samengesteld van de zorgvorm waarvoor de prijsaanvraag wordt ingediend.</t>
  </si>
  <si>
    <t>in te vullen, indien voorkomend</t>
  </si>
  <si>
    <t>in te vullen, gebaseerd op de waarderingsregels</t>
  </si>
  <si>
    <t>Reeds opgenomen bedrag in dagprijs in geval van vervanging</t>
  </si>
  <si>
    <t>Deze rubriek dient u enkel te vervolledigen indien u een aanvraag voor investeringen wenst in te dienen. In dat geval dient u wel nog 2 jaar te wachten vooraleer u voor marge-evolutie een aanvraag kan indienen. Deze rubriek wordt ook enkel gehanteerd indien de investeringen voor minder dan de helft op minimaal twintig jaar worden afgeschreven. Indien de investeringen voor minimaal de helft op minimaal twintig jaar worden afgeschreven, kan het formulier 1 worden gehanteerd. Formulier 1 kan voor dezelfde bewoners echter niet gecombineerd worden met formulier 2 (voor marge-evolutie). Er zal dan ook twee jaar moeten verstreken zijn tussen beide formulieren.
U kan hier vrij de afschrijvingstermijn bepalen in zoverre dat die in lijn ligt van de waarderingsregels. Indien de investering ter vervanging van een voorgaande investering geldt, dan dient de reeds eerder in de dagprijs opgenomen kost in mindering te worden gebracht.</t>
  </si>
  <si>
    <t>Vul onder 5.1 en 5.2 per kamertype de capaciteiten en de gevraagde dagprijzen in. 
In rubriek 5.3 wordt de plafondprijs voor de nieuwe en bestaande bewoners bepaald.
Voor de nieuwe bewoners wordt de gemiddelde dagprijs enkel afgetopt op basis van de verantwoorde kost.
Voor de bestaande bewoners is er een aftopping op 10% van de huidige gemiddelde dagprijs (na eventuele aftrek van het infrastructuurforfait).
In rubriek 5.4 worden de opstappen bepaald.
 In geval van een marge-evolutie waarbij het laatste jaar een positieve marge laat zien, worden de opstappen bovendien beperkt tot 5% het eerste jaar (met opstappen van 6 euro per 6 maand) en vanaf de 13e maand maximaal 10%.
Indien het laatste jaar echter een negatieve marge laat zien, verlopen de opstappen volgens maximaal 6 euro per 6 maand met een maximum van 10%. 
Voor de andere aanleidingen dan marge-evolutie gelden altijd de opstappen van 6 euro per 6 maand.</t>
  </si>
  <si>
    <t>Vermeld hier per kamertype (in kolom B) voor de bestaande bewoners: de capaciteit (kolom E), de huidige dagprijs in de oude infrastructuur (kolom F) en de gevraagde prijs in de nieuwe infrastructuur (= kolom G).
Het programma berekent dan de plafondprijs (kolom H), de maximale prijs in jaar 1 (kolom I) en de maximale prijs vanaf jaar 2 (kolom J).
De plafondprijs wordt bepaald onder 5.3 in de kolom bestaande bewoners. Deze is het minimum van de effectieve doorrekenbare kost en 110% van de huidige gemiddelde dagprijs (na eventuele aftrek van het infrastructuurforfait).  De opstappen worden bepaald onder rubriek 5.4.
In geval van een marge-evolutie onderscheiden we volgende groeiritmes voor de opstappen:
 Indien in het laatste boekjaar een positieve marge of beperkt resultaat wordt gerealiseerd, zullen de opstappen beperkt blijven tot maximaal 5% ten opzichte van de dagprijs van het kamertype in het eerste jaar (met stappen van 6 euro per 6 maand).
 Indien in het laatste boekjaar een negatieve marge wordt gerealiseerd, mogen de opstappen 6 euro per 6 maand bedragen.
Voor de niet-drastische investeringen gelden steeds de opstappen van 6 euro per 6 maand.</t>
  </si>
  <si>
    <t>wordt volledig berekend</t>
  </si>
  <si>
    <t>vrij te wijzigen</t>
  </si>
  <si>
    <t>vrij te wijzigen volgens soort investering</t>
  </si>
  <si>
    <t>Bijlage extra vergoedingen</t>
  </si>
  <si>
    <t>Investeringscategorie I: …........</t>
  </si>
  <si>
    <t>Investeringscategorie III: …....</t>
  </si>
  <si>
    <t>U kan dit wijzigen in functie van de specifieke investeringstypes volgens afschrijvingstermijn</t>
  </si>
  <si>
    <t>Formulier 2: formulier andere:  alle zorgvormen</t>
  </si>
  <si>
    <t>Dossiernummer bij Zorg en Gezondheid (6 cijfers, in het midden gescheiden door .):</t>
  </si>
  <si>
    <t>Binnen formulier 2 is er geen combinatie mogelijk van marge-evolutie met niet-drastische investeringen.</t>
  </si>
  <si>
    <r>
      <t xml:space="preserve">Een inrichtende macht heeft investeringen die toewijsbaar zijn aan een </t>
    </r>
    <r>
      <rPr>
        <b/>
        <sz val="11"/>
        <color theme="1"/>
        <rFont val="Calibri"/>
        <family val="2"/>
        <scheme val="minor"/>
      </rPr>
      <t>woonzorgcentrum</t>
    </r>
    <r>
      <rPr>
        <sz val="11"/>
        <color theme="1"/>
        <rFont val="Calibri"/>
        <family val="2"/>
        <scheme val="minor"/>
      </rPr>
      <t xml:space="preserve"> en een </t>
    </r>
    <r>
      <rPr>
        <b/>
        <sz val="11"/>
        <color theme="1"/>
        <rFont val="Calibri"/>
        <family val="2"/>
        <scheme val="minor"/>
      </rPr>
      <t>groep van assistentiewoningen (GAW)</t>
    </r>
    <r>
      <rPr>
        <sz val="11"/>
        <color theme="1"/>
        <rFont val="Calibri"/>
        <family val="2"/>
        <scheme val="minor"/>
      </rPr>
      <t xml:space="preserve">. </t>
    </r>
  </si>
  <si>
    <t>Indien tijdens de behandelingstermijn van de prijsaanvraag de spilindex wordt overschreden, dan kan de voorziening daarentegen wel een aangepaste prijsaanvraag indienen.</t>
  </si>
  <si>
    <r>
      <rPr>
        <b/>
        <sz val="11"/>
        <color theme="1"/>
        <rFont val="Calibri"/>
        <family val="2"/>
        <scheme val="minor"/>
      </rPr>
      <t xml:space="preserve">Stap 2:  </t>
    </r>
    <r>
      <rPr>
        <sz val="11"/>
        <color theme="1"/>
        <rFont val="Calibri"/>
        <family val="2"/>
        <scheme val="minor"/>
      </rPr>
      <t>U doorloopt voor elke aanleiding de beslissingsboom om te bepalen in welk kostentabblad de kosten moeten ingevoerd worden:</t>
    </r>
  </si>
  <si>
    <t>1) Vul  het tabblad "generieke input" in</t>
  </si>
  <si>
    <t>De groene tabbladen laten invoer toe met impact op uw aanvraag.</t>
  </si>
  <si>
    <t>De rode tabbladen bevatten parameters die u niet kan wijzigen.</t>
  </si>
  <si>
    <t>De oranje tabbladen hebben louter een informatieve waarde.</t>
  </si>
  <si>
    <t>Voor een centrum voor dagverzorging (CDV)/centrum voor dagopvang of Groep Assistentiewoningen (GAW), dient telkens een aparte excel te worden gebruikt. Deze kunnen niet met elkaar of met het WZC/KV worden gecombineerd.</t>
  </si>
  <si>
    <t>- investeringen voor infrastructuurforfait: gezien prijsaanvraag om het infrastructuurforfait toegekend te krijgen, geldt de kosteninvoer in tabblad 1A (a). Het toerekenbare deel van de collectieve investeringen wordt hierin mee opgenomen.</t>
  </si>
  <si>
    <t>- investeringen voor niet-infrastructuurforfaitgerechtigde bewoners: gezien deze investeringen op minder dan twintig jaar worden afgeschreven, is het antwoord op vraag (b) "NEEN" en geldt dus formulier 2 (=d uit de beslissingsboom).</t>
  </si>
  <si>
    <t>Binnen dezelfde excel voor het woonzorgcentrum gebeurt dus invoer in "1A-Infrastructuur met forfait" voor de bewoners met infrastructuurforfait en in "Formulier 2" voor de bewoners zonder infrastructuurforfait</t>
  </si>
  <si>
    <t>Voor de GAW stelt zich direct de vraag of minimaal de helft van de investeringen op minimaal twintig jaar wordt afgeschreven (beslissingsboom, b). Gezien "JA" gebeurt de kosteninvoer dus in tabblad 1B (belissingsboom, c) van de excel voor de GAW.</t>
  </si>
  <si>
    <t>De aanleiding van de prijsaanvraag is marge-evolutie. Het woonzorgcentrum hanteert het formulier 2 voor alle bewoners. Voor de eerder forfaitgerechtigde bewoners wordt voor de huidige dagprijs uitgegaan van de dagprijs na aftrek van het infrastructuurforfait.</t>
  </si>
  <si>
    <t>- centrum voor dagverzorging en centrum voor dagopvang;</t>
  </si>
  <si>
    <r>
      <t xml:space="preserve">Binnen de excel voor de GAW is er maar 1 aanleiding, met name </t>
    </r>
    <r>
      <rPr>
        <b/>
        <sz val="11"/>
        <color theme="1"/>
        <rFont val="Calibri"/>
        <family val="2"/>
        <scheme val="minor"/>
      </rPr>
      <t>drastische investeringen</t>
    </r>
    <r>
      <rPr>
        <sz val="11"/>
        <color theme="1"/>
        <rFont val="Calibri"/>
        <family val="2"/>
        <scheme val="minor"/>
      </rPr>
      <t>.</t>
    </r>
  </si>
  <si>
    <t>Gezien het een drastische investering betreft voor bewoners met reeds infrastructuurforfait (hoofdvraag beslissingsboom), zal opnieuw formulier 1A moeten ingevuld worden.</t>
  </si>
  <si>
    <t>Vermeld hierna de andere, niet-infrastructuurinvesteringen, voor het deel dat betrekking heeft op/kan toegerekend worden aan de bewoners met infrastructuurforfait. In de blauwe hoofding past u de omschrijving van de investeringssoort aan. Het betreft investeringen die samenhangen met de infrastructuurinvesteringen. Als financieringskost wordt  opnieuw de OLO op  10 jaar +200 bp genomen, zoals bepaald in het tabblad 'Generieke input'.</t>
  </si>
  <si>
    <t>Vermeld hier per kamertype voor de bestaande bewoners in de infrastructuurforfaitgerechtigde capaciteit: 
- de  capaciteit (kolom E)
- de eventuele maximumprijs bij kennisname in de opnameoverenkomst en dit vóór aftrek van het forfait (kolom F, vermeld hier 0 euro indien die maximumprijs niet werd opgenomen). Deze maximumprijs kan in tussentijd nog geïndexeerd worden indien de spilindex wordt overschreden sinds het moment van opname in de opnameovereenkomst.
- de gevraagde prijs in de nieuwe infrastructuur na aftrek van het forfait (in kolom H).
Indien er effectief bewoners kennis genomen hebben van de maximale prijs, dan dient  het bewijs van de start van de werken (via brief van de voorziening aan de aannemer) te worden toegevoegd. Via de ondertekening van het outputtabblad verklaren de gemachtigden naar eer en geweten dat het aantal bewoners met plafondprijs in de opnameovereenkomst effectief correct is.
Het formulier toetst de prijzen dan automatisch af aan de evt. opgenomen prijs in de overeenkomst en geeft ook de aangepaste richtlijnen i.v.m. de evolutie van de stappen.</t>
  </si>
  <si>
    <t xml:space="preserve">Vermeld hier per kamertype voor de bestaande bewoners die niet infrastructuurforfaitgerechtigd zijn: de  capaciteit waarvoor de prijs wordt aangevraagd (kolom E), de eventuele maximumprijs bij kennisname in de opnameoverenkomst (kolom F, vermeld hier 0 euro indien die maximumprijs niet werd opgenomen) en de gevraagde prijs in de nieuwe infrastructuur (G). Deze maximumprijs kan in tussentijd nog geïndexeerd worden indien de spilindex wordt overschreden sinds het moment van opname in de opnameovereenkomst.
Indien er effectief bewoners kennis genomen hebben van de maximale prijs, dan dient  het bewijs van de start van de werken (via brief van de voorziening aan de aannemer) te worden toegevoegd. Via de ondertekening van het outputtabblad verklaren de gemachtigden naar eer en geweten dat het aantal bewoners met plafondprijs in de opnameovereenkomst effectief correct is.
Het formulier toetst de prijzen dan automatisch af aan de evt. opgenomen prijs in de overeenkomst en geeft ook de aangepaste richtlijnen i.v.m. de evolutie van de stappen.
</t>
  </si>
  <si>
    <t>opstappen (steeds t.o.v. huidige dagprijs na eventuele aftrek van het infrastructuurforfait)</t>
  </si>
  <si>
    <t>CDV/CDO</t>
  </si>
  <si>
    <t>(1) Geen plafondprijs in opnameovereenkomst: De dagprijs na forfait stijgt niet in het eerste jaar en kan daarna elke 6 maand met max. 3 euro worden verhoogd tot de goedgekeurde prijs bereikt is.</t>
  </si>
  <si>
    <t>(2) Plafondprijs in opnameovereenkomst: de dagprijs na forfait kan  bij ingebruikname met max. 6 euro stijgen en kan daarna ten vroegste elke 6 maand met maximaal 6 euro worden verhoogd tot de goedgekeurde prijs bereikt is.</t>
  </si>
  <si>
    <t>door ondertekening van het outputtabblad wordt naar eer en geweten verklaard dat het aantal vermelde bewoners met opnameovereenkomst correct is</t>
  </si>
  <si>
    <t>voorzitter</t>
  </si>
  <si>
    <t>bestuurder1</t>
  </si>
  <si>
    <t>P. Resident</t>
  </si>
  <si>
    <t>C. Hauffeur</t>
  </si>
  <si>
    <t>indien JA en indien volgende cellen niet verschijnen, gelieve dan in een willekeurige cel te klikken</t>
  </si>
  <si>
    <t>bezettingsgraad conform methodologie van het infrastructuurforfait</t>
  </si>
  <si>
    <t>andere rechtsvorm in te vullen indien in de vorige cel "andere" werd geselecteerd</t>
  </si>
  <si>
    <t>Huidige nettodagprijs
 (na evt. infrastructuurforfait)</t>
  </si>
  <si>
    <t>Goedgekeurde nettodagprijs (na evt.infrastructuurforfait)</t>
  </si>
  <si>
    <t>max.nettodagprijs jaar1 (na evt. infrastructuurforfait)</t>
  </si>
  <si>
    <t>max. nettodagprijs (na evt. infrastructuurforfait)</t>
  </si>
  <si>
    <t>nettodagprijs (*)</t>
  </si>
  <si>
    <t>goedgekeurde nettodagprijs (*)</t>
  </si>
  <si>
    <t>max. nettoprijs (*)</t>
  </si>
  <si>
    <t>prijs in opnameovereen-komst vermeld? (*)</t>
  </si>
  <si>
    <t>Vermeld hierna de nieuwe investeringen indien hiervan minimaal 50% op minimaal twintig jaar wordt afgeschreven. De kamerinfrastructuur en het meubilair dienen volgens vaste termijnen van respectievelijk 25 en 10 jaar te worden afgeschreven.
  Van deze investeringen mag enkel het deel opgenomen worden dat kan toegerekend worden aan de niet-infrastructuurforfaitgerechtigde bewoners. In geval van een gecombineerd investeringsproject voor infrastructuurforfaitgerechtigde en niet-infrastructuurforfaitgerechtigde bewoners gaat u dus als volgt te werk:
- bepaal eerst het deel van de nieuwe investeringen dat betrekking heeft op de niet-infrastructuurforfaitgerechtigde bewoners
- ga vervolgens na of van het voornoemde deel minimaal 50% een afschrijvingsduur heeft van minimaal 20 jaar:
&gt; indien zo, dan mag dit formulier inderdaad gebruikt worden;
&gt;&gt; indien niet, dan dient het formulier 2 te worden gebruikt.</t>
  </si>
  <si>
    <t>Klik sowieso in een willekeurige cel om de passende rijen te laten verschijnen (of te laten verdwijnen)!</t>
  </si>
  <si>
    <t>in te vullen, tenzij louter marge-evolutie</t>
  </si>
  <si>
    <t>4. Andere toeslagen</t>
  </si>
  <si>
    <t>omschrijving</t>
  </si>
  <si>
    <t>aangevraagd</t>
  </si>
  <si>
    <t>5. Kortingen</t>
  </si>
  <si>
    <t>niet in te vullen, dit stemt overeen met de capaciteit vermeld in het tabblad "Generieke input", cel G36</t>
  </si>
  <si>
    <t>Bepaald in tabblad "generieke input", onder rubriek 3.2</t>
  </si>
  <si>
    <t>Vermeld hier voor de kamers in de vernieuwde infrastructuur  de dagprijzen voor de niet-infrastructuurforfaitgerechtigde bewoners die u zou willen hanteren indien die capaciteit volledig bewoond zou zijn door nieuwe bewoners. Vermeld per kamertype de capaciteit (kolom E) en de gevraagde dagprijs (kolom F).
Het totaal van de capaciteiten per kamertype moet overeenstemmen met de capaciteit "zonder forfait" in het tabblad "Generieke input", cel G36. 
De gevraagde dagprijzen  worden slechts aanvaard indien het gemiddelde hiervan niet hoger ligt dan de verantwoorde prijs, cel E124</t>
  </si>
  <si>
    <t>Dit formulier wordt gebruikt voor alle zorgvormen  en voor volgende aanleidingen voor dagprijsverhoging: hetzij (a) investeringen waarvan minder dan 50% van de totale kost op factuur afgeschreven wordt op minimaal twintig jaar (rubriek 3) of hetzij (b)  een marge-evolutie (rubrieken 1 en 2).
Beide (a) en (b) kunnen niet gelijktijdig worden ingevoerd. Tussen de indiening van (a) en (b) dient ook minimaal twee jaar verstreken te zijn. 
Verder kan dit formulier ook ingevuld worden voor verschuiving van supplement naar dagprijs (rubriek 4) of voor andere toeslagen (rubriek 6).</t>
  </si>
  <si>
    <t>Aangevraagde nettodagprijs (na evt.  infrastructuurforfait)</t>
  </si>
  <si>
    <t>bovengemiddelde dagprijs?</t>
  </si>
  <si>
    <t>afgetoetste dagprijsverhoging</t>
  </si>
  <si>
    <t>Maximale prijsverhoging o.b.v. marge-evolutie:</t>
  </si>
  <si>
    <r>
      <t>Aangevraagde dagprijs in nieuwe infrastructuur na aftrek forfait =N</t>
    </r>
    <r>
      <rPr>
        <b/>
        <sz val="11"/>
        <rFont val="Calibri"/>
        <family val="2"/>
        <scheme val="minor"/>
      </rPr>
      <t>ettodagprijs</t>
    </r>
  </si>
  <si>
    <t>Aangevraagde brutodagprijs in nieuwe infrastructuur vóór aftrek forfait = netto + forfait</t>
  </si>
  <si>
    <t>Aangevraagde nettodagprijs na aftrek forfait, na bescherming bestaande bewoners</t>
  </si>
  <si>
    <t xml:space="preserve">voor de bouwkost werd gekozen voor hetzij (verwijder wat niet van toepassing is): eindafrekening / samenvattende vorderingsstaat/ geattesteerde afschrijvingstabel/  facturen/ gunningsbeslissing/ andere: ... 
Let op: de verantwoordingsstukken mogen niet ouder dan twee jaar zijn
</t>
  </si>
  <si>
    <t>Belangrijk: de verantwoordingsstukken mogen niet ouder dan twee jaar zijn.</t>
  </si>
  <si>
    <t>Afschrijvingsduur investeringkost (in jaren)</t>
  </si>
  <si>
    <t>afschrijvingsduur (in jaren)</t>
  </si>
  <si>
    <t>Afschrijvingsduur eenmalige investeringkost (in jaren):</t>
  </si>
  <si>
    <t>Stap 1: voer hier de investeringssoorten en hun afschrijvingsduur in</t>
  </si>
  <si>
    <t>Investering11</t>
  </si>
  <si>
    <t>Investering12</t>
  </si>
  <si>
    <t>Investering13</t>
  </si>
  <si>
    <t>Investering14</t>
  </si>
  <si>
    <t>Stap 2:  voer de kostencomponenten in</t>
  </si>
  <si>
    <t>Per detaillijn vermeldt u:</t>
  </si>
  <si>
    <t>kolom A</t>
  </si>
  <si>
    <t>kolom B</t>
  </si>
  <si>
    <t>de omschrijving van de werken of aankoop</t>
  </si>
  <si>
    <t>kolom C</t>
  </si>
  <si>
    <t>het referentienummer van het verantwoordingsstuk, op basis waarvan dit door de administratie kan worden opgevraagd</t>
  </si>
  <si>
    <t>kolom D</t>
  </si>
  <si>
    <t>kostprijs exclusief BTW</t>
  </si>
  <si>
    <t>kostprijs inclusief BTW</t>
  </si>
  <si>
    <t>kolom E</t>
  </si>
  <si>
    <t>kolom F</t>
  </si>
  <si>
    <t>toewijzingspercentage: het deel van de investeringskost dat voor de prijsaanvraag kan worden meegerekend</t>
  </si>
  <si>
    <t>investeringssoort, door het selecteren van de uitvallijst. Die uitvallijst wordt bepaald op basis van de rubrieken die in stap 1 werden opgenomen</t>
  </si>
  <si>
    <t>overgenomen</t>
  </si>
  <si>
    <t>U kan meteen ook de investeringskost per afschrijvingstermijn ingeven</t>
  </si>
  <si>
    <t>U kan dit bedrag uit kolom  C toewijzen aan/verdelen over kolommen D-F.</t>
  </si>
  <si>
    <t>De cijfers in kolommen A en B worden weer overgenomen, in kolommen C-E kan u opnieuw toewijzen aan/verdelen  over de formulieren</t>
  </si>
  <si>
    <t>Dit is een hulpblad voor de detaillering van de investeringskosten in hetzij formulier 1 of 2. 
Onder stap 1 voert u de investeringssoorten en hun  afschrijvingsduur in.
Onder stap 2 vermeldt u de detaillijnen voor de kosten met per detaillijn de omschrijving, het referentienummer van het verantwoordingsstuk, het bedrag en het toewijzingspercentage
Onder stap 3 kan u de investeringskosten toewijzen volgens de combinatie van investeringssoort en afschrijvingsduur (3a) of enkel volgens afschrijvingsduur (3b)</t>
  </si>
  <si>
    <t>Vul hieronder voor de zorgvorm(en) waarvoor u momenteel een prijsaanvraag wenst in te dienen het volgende in: de totale capaciteit van de zorgvorm alsook de capaciteit waarvoor de prijsaanvraag wordt ingediend.
Enkel het woonzorgcentrum en kortverblijf kunnen worden gecombineerd in 1 excel. Indien u naast een prijsaanvraag voor woonzorgcentrum en kortverblijf, ook nog een prijsaanvraag voor GAW en/of centrum voor dagverzorging/centrum voor dagopvang wenst in te dienen, dan dient u voor GAW en/of het centrum voor dagverzorging/centrum voor dagopvang een apart excelformulier te gebruiken. U dient dan meerdere excels in.
Vul vervolgens de datum van het aanvangsbevel in rubriek 4 in. Daarna kan u door op de hyperlinks de groene zone te klikken (gebied F31:H31) naar de passende tabbladen navigeren om de kosten in te voeren.</t>
  </si>
  <si>
    <t>Kostprijs (incl. niet-aftrekbare BTW)</t>
  </si>
  <si>
    <r>
      <t xml:space="preserve">Hierna neemt u de kost van de infrastructuurinvesteringen op, voor het deel dat betrekking heeft op de infrastructuurforfaitgerechtigde capaciteit.  Die infrastructuurkost kan zowel betrekking hebben op een gebouw in eigendom  of via een huurovereenkomst. In geval van huur dient de investeringskost van de verhuurder te worden verrekend. De financieringskost wordt automatisch berekend op basis van de OLO + 200 bp, zoals bepaald in het tabblad 'generieke input'.
</t>
    </r>
    <r>
      <rPr>
        <b/>
        <sz val="10"/>
        <color rgb="FFFF0000"/>
        <rFont val="Arial"/>
        <family val="2"/>
      </rPr>
      <t>BELANGRIJK:</t>
    </r>
    <r>
      <rPr>
        <sz val="10"/>
        <color rgb="FFFF0000"/>
        <rFont val="Arial"/>
        <family val="2"/>
      </rPr>
      <t xml:space="preserve"> voor de bouw- en aankoopkost onder 1.1 en de investeringskost onder 1.2, dient steeds ter verantwoording een excel met een kostenoverzicht te worden toegevoegd. Dit overzicht vermeldt per kostencategorie minimaal het bedrag, het verantwoordingsstuk en de referentie voor het verantwoordingsstuk. U kan daarvoor ook het tabblad "Bijlage investeringsoverzicht" gebruiken en op de rij 21 de link leggen naar de kostentotalen vermeld in hetzij tabel 3a of hetzij 3b. Het kostenoverzicht  laat toe om steekproefgewijs verantwoordingsstukken op te vragen. In volgorde van verantwoordingswaarde zijn dit : facturen, gunningsbeslissingen, offertes, raming van architect of afschrijvingstabel. Deze verantwoordingsstukken mogen niet ouder zijn dan twee jaar, tenzij zij behoren tot een groter geheel van verantwoordingsstukken waarbij de afsluitende factuur/vorderingsstaat niet ouder is dan 2 jaar.
</t>
    </r>
  </si>
  <si>
    <r>
      <t xml:space="preserve">zowel in geval van een bouw onder eigen regie of in geval van huur bezorgt u:
- exceloverzicht van alle bouwkosten met vermelding van het bedrag, het verantwoordingsstuk en daarnaast de referentie voor het verantwoordingsstuk. U kan ook het tabblad hiernaast </t>
    </r>
    <r>
      <rPr>
        <b/>
        <sz val="11"/>
        <rFont val="Calibri"/>
        <family val="2"/>
        <scheme val="minor"/>
      </rPr>
      <t>"bijlage investeringsoverzicht"</t>
    </r>
    <r>
      <rPr>
        <sz val="11"/>
        <rFont val="Calibri"/>
        <family val="2"/>
        <scheme val="minor"/>
      </rPr>
      <t xml:space="preserve"> aanpassen
en vanuit deze excel linken naar dit tabblad
- vervolgens zullen de verantwoordingsstukken steekproefgewijs worden opgevraagd. In volgorde van belang zijn dit : facturen, gunningsbeslissingen, offertes, raming van architect, afschrijvingstabel, andere (extract uit boekhouding)...</t>
    </r>
  </si>
  <si>
    <t>Vul hierna in kolom E de andere kosten voor producten en diensten en diverse leveringen in met betrekking tot de forfaitgerechtigde infrastructuur. Hiervoor worden enkel die kosten opgenomen die niet eerder in de vorige rubrieken werden aangerekend.
U vult daartoe in kolom E, waar van toepassing, de kosten op detailniveau in. Indien dit niet kan, mag u zich beperken tot de zwart omrande cellen/kaders. In sommige gevallen betekent dit dat u een automatisch berekend totaal zal overschrijven.
Het totaal van de andere kosten voor producten en diensten en diverse leveringen wordt slechts verrekend in de dagprijs na aftrek van het deel dat reeds via een supplement werd doorgerekend. 
Naast "supplementen en voorschotten" vult u in kolom E het totaalbedrag aan supplementen en voorschotten in dat reeds door de bewoners wordt betaald en dus niet dient verrekend te worden in de dagprijs.
In kolom F wordt vervolgens de gemiddelde kost per verblijfsdag berekend</t>
  </si>
  <si>
    <t>nettoprijs = initiële brutoprijs in de overeenkomst na aftrek van het huidige forfait (indien zo'n maximumprijs werd voorzien in de overeenkomst)</t>
  </si>
  <si>
    <t>bewijs van de datum van de start van de werken aan de  hand van een aanvangsbevel van de werken (brief voorziening aan de aannemer)</t>
  </si>
  <si>
    <t>brutodagprijs (kolom G)
- forfait 6,29 euro
= nettodagprijs (= prijs na aftrek forfait, kolom F)</t>
  </si>
  <si>
    <t>2024-12-02</t>
  </si>
  <si>
    <t>2024-12-03</t>
  </si>
  <si>
    <t>2024-12-04</t>
  </si>
  <si>
    <t>2024-12-05</t>
  </si>
  <si>
    <t>2024-12-06</t>
  </si>
  <si>
    <t>2024-12-09</t>
  </si>
  <si>
    <t>2024-12-10</t>
  </si>
  <si>
    <t>2024-12-11</t>
  </si>
  <si>
    <t>2024-12-12</t>
  </si>
  <si>
    <t>2024-12-13</t>
  </si>
  <si>
    <t>2024-12-16</t>
  </si>
  <si>
    <t>2024-12-17</t>
  </si>
  <si>
    <t>2024-12-18</t>
  </si>
  <si>
    <t>2024-12-19</t>
  </si>
  <si>
    <t>2024-12-20</t>
  </si>
  <si>
    <t>2024-12-23</t>
  </si>
  <si>
    <t>2024-12-24</t>
  </si>
  <si>
    <t>2024-12-27</t>
  </si>
  <si>
    <t>2024-12-30</t>
  </si>
  <si>
    <t>2024-12-31</t>
  </si>
  <si>
    <t>3a: toewijzing per investeringssoort-afschrijvingsduur:</t>
  </si>
  <si>
    <t>3b: toewijzing per afschrijvingstermijn</t>
  </si>
  <si>
    <t>In kolom C wordt per eerder gekozen investeringssoort (kolom A) en afschrijvingsduur (kolom B), het investeringsbedrag toegewezen</t>
  </si>
  <si>
    <t>Stap 3: toewijzing kosten</t>
  </si>
  <si>
    <t>Belangrijk: er zijn tot rij197 lijnen voor invoer. U kan deze sheet nog bewerken en verder aanvullen met bijkomende invoerlijnen</t>
  </si>
  <si>
    <t>Er zijn 2 allocatietabellen waarvan de per categorie toegewezen bedragen naar keuze kunnen worden overgenomen in de kostentabbladen.</t>
  </si>
  <si>
    <t>Belangrijk: doorloop alle rubrieken. Vergeet niet om ook het jaar van aanvangsbevel in te vullen, tenzij het louter een aanvraag voor marge-evolutie betreft.</t>
  </si>
  <si>
    <t>Het verslag van de efficiëntiemaatregelen: dit is een overzicht van de maatregelen die de voorziening in de voorbij 3 jaren heeft genomen en in de volgende jaren gaat nemen om het verlies weg te werken of te beperken.</t>
  </si>
  <si>
    <t>geliever hier  uw ondernemingsnummer in te vullen</t>
  </si>
  <si>
    <t>gelieve hier uw dossiernummer bij Zorg en Gezondheid in te vullen</t>
  </si>
  <si>
    <t>De gegevens hieronder zijn enkel bedoeld als voorbeeld. Gelieve die te overtypen met uw gegevens met betrekking tot de investeringskost.</t>
  </si>
  <si>
    <t>Belangrijk: de geevens hieronder zijn enkel bedoeld als voorbeeld, gelieve de reële gegevens in te vullen. Gelieve de reeds ingevulde gegevens te overschrijven.</t>
  </si>
  <si>
    <t>Stap 2: afdrukken. Pas eventueel het paginabereik aan.</t>
  </si>
  <si>
    <t>Stap 3: laat dit ondertekenen door de gemachtigden</t>
  </si>
  <si>
    <t>Bezorg het ondertekende document in pdf</t>
  </si>
  <si>
    <t>Eventueel kan u ook elektronisch tekenen en dan direct</t>
  </si>
  <si>
    <t>via stap 2 afdrukken in pdf.</t>
  </si>
  <si>
    <t>Stap 1: selecteer in de filter op kolom G de waarde 1. Klik daartoe op het trechtertje en klik de vinkjes uit bij 0 en (Lege cellen) zodat enkel de 1 aangeklikt blijft (zie de screen shot hiernaast)</t>
  </si>
  <si>
    <t>Hiermee worden  de rijen met invoer getoond.</t>
  </si>
  <si>
    <t>In dit outputblad dient u niks in te voeren, alle gegevens worden over overgenomen uit de generieke input en het tabblad van de prijsaanvraag</t>
  </si>
  <si>
    <t>Werkwijze voor uitprinten output-tabblad:</t>
  </si>
  <si>
    <t>(*) Bijkomende uitleg plafondprijs in opnameovereenkomst:</t>
  </si>
  <si>
    <t>Prijs in opnameovereenkomst? 
(indien niet =0 euro)
Voor meer uitleg, zie de noot onder deze tabel of klik op deze cel.</t>
  </si>
  <si>
    <t xml:space="preserve">De hier vermelde plafondprijs betreft de plafondprijs die werd vermeld in de opnameovereenkomst naar aanleiding van investeringen waarover zekerheid bestaat dat zij zullen worden uitgevoerd. </t>
  </si>
  <si>
    <t>De prijs maakt deel uit van een clausule in de opnameovereenkomst die wordt mee ondertekend door de bewoners bij opname, waardoor die expliciet instemmen met die plafondprijs,  en waarbij de clausule dus maar geldig is als er een reëel uitzicht is op investeringen. Als bewijs van die investeringen geldt de datum waarop de werken kunnen gestart worden zoals opgegeven in de brief voor het aanvangsbevel voor de werken.</t>
  </si>
  <si>
    <t>initiële brutoprijs uit de opnameovereenkomst= prijs vóór aftrek forfait (indien geen prijs in overeenkomst =0 euro, indien wel = neem prijs uit overeenkomst, evt. aangepast aan afgevlakte gezondheidsindex)
Voor meer uitleg zie onderaan deze kader of klik op deze 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</si>
</sst>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164" formatCode="_ [$€-813]\ * #,##0.00_ ;_ [$€-813]\ * \-#,##0.00_ ;_ [$€-813]\ * &quot;-&quot;??_ ;_ @_ "/>
    <numFmt numFmtId="165" formatCode="0.0000%"/>
    <numFmt numFmtId="166" formatCode="&quot;€&quot;\ #,##0.00"/>
    <numFmt numFmtId="167" formatCode="###,###"/>
    <numFmt numFmtId="168" formatCode="0;\-0;;@"/>
    <numFmt numFmtId="169" formatCode="0.00;\-0.00;;@"/>
  </numFmts>
  <fonts count="6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rgb="FF00B050"/>
      <name val="Calibri"/>
      <family val="2"/>
      <scheme val="minor"/>
    </font>
    <font>
      <b/>
      <sz val="11"/>
      <name val="Calibri"/>
      <family val="2"/>
      <scheme val="minor"/>
    </font>
    <font>
      <sz val="11"/>
      <name val="Calibri"/>
      <family val="2"/>
      <scheme val="minor"/>
    </font>
    <font>
      <sz val="11"/>
      <color rgb="FFFF0000"/>
      <name val="Calibri"/>
      <family val="2"/>
      <scheme val="minor"/>
    </font>
    <font>
      <b/>
      <sz val="11"/>
      <color rgb="FFFF0000"/>
      <name val="Calibri"/>
      <family val="2"/>
      <scheme val="minor"/>
    </font>
    <font>
      <u/>
      <sz val="11"/>
      <color theme="10"/>
      <name val="Calibri"/>
      <family val="2"/>
      <scheme val="minor"/>
    </font>
    <font>
      <b/>
      <sz val="11"/>
      <color rgb="FF92D050"/>
      <name val="Calibri"/>
      <family val="2"/>
      <scheme val="minor"/>
    </font>
    <font>
      <b/>
      <u/>
      <sz val="11"/>
      <color rgb="FFFF0000"/>
      <name val="Calibri"/>
      <family val="2"/>
      <scheme val="minor"/>
    </font>
    <font>
      <b/>
      <sz val="14"/>
      <color theme="1"/>
      <name val="Calibri"/>
      <family val="2"/>
      <scheme val="minor"/>
    </font>
    <font>
      <b/>
      <sz val="10"/>
      <name val="Arial"/>
      <family val="2"/>
    </font>
    <font>
      <sz val="9"/>
      <name val="Arial"/>
      <family val="2"/>
    </font>
    <font>
      <b/>
      <sz val="10"/>
      <color rgb="FF00B050"/>
      <name val="Arial"/>
      <family val="2"/>
    </font>
    <font>
      <sz val="11"/>
      <color rgb="FF7030A0"/>
      <name val="Calibri"/>
      <family val="2"/>
      <scheme val="minor"/>
    </font>
    <font>
      <sz val="11"/>
      <color rgb="FF92D050"/>
      <name val="Calibri"/>
      <family val="2"/>
      <scheme val="minor"/>
    </font>
    <font>
      <b/>
      <sz val="16"/>
      <name val="Calibri"/>
      <family val="2"/>
      <scheme val="minor"/>
    </font>
    <font>
      <b/>
      <u/>
      <sz val="11"/>
      <color theme="10"/>
      <name val="Calibri"/>
      <family val="2"/>
      <scheme val="minor"/>
    </font>
    <font>
      <sz val="10"/>
      <color rgb="FFFF0000"/>
      <name val="Arial"/>
      <family val="2"/>
    </font>
    <font>
      <b/>
      <sz val="16"/>
      <color theme="1"/>
      <name val="Calibri"/>
      <family val="2"/>
      <scheme val="minor"/>
    </font>
    <font>
      <b/>
      <u/>
      <sz val="11"/>
      <color theme="1"/>
      <name val="Calibri"/>
      <family val="2"/>
      <scheme val="minor"/>
    </font>
    <font>
      <b/>
      <sz val="24"/>
      <color rgb="FFFF0000"/>
      <name val="Calibri"/>
      <family val="2"/>
      <scheme val="minor"/>
    </font>
    <font>
      <b/>
      <sz val="10"/>
      <color rgb="FFFF0000"/>
      <name val="Arial"/>
      <family val="2"/>
    </font>
    <font>
      <b/>
      <sz val="12"/>
      <color rgb="FFFF0000"/>
      <name val="Calibri"/>
      <family val="2"/>
      <scheme val="minor"/>
    </font>
    <font>
      <b/>
      <i/>
      <sz val="11"/>
      <color theme="1"/>
      <name val="Calibri"/>
      <family val="2"/>
      <scheme val="minor"/>
    </font>
    <font>
      <i/>
      <sz val="11"/>
      <color theme="1"/>
      <name val="Calibri"/>
      <family val="2"/>
      <scheme val="minor"/>
    </font>
    <font>
      <sz val="11"/>
      <color rgb="FF333333"/>
      <name val="Calibri"/>
      <family val="2"/>
    </font>
    <font>
      <b/>
      <u/>
      <sz val="9"/>
      <color indexed="18"/>
      <name val="Verdana"/>
      <family val="2"/>
    </font>
    <font>
      <b/>
      <sz val="8"/>
      <color indexed="9"/>
      <name val="Verdana"/>
      <family val="2"/>
    </font>
    <font>
      <sz val="8"/>
      <color indexed="9"/>
      <name val="Verdana"/>
      <family val="2"/>
    </font>
    <font>
      <b/>
      <sz val="8"/>
      <name val="Verdana"/>
      <family val="2"/>
    </font>
    <font>
      <b/>
      <sz val="9"/>
      <color indexed="10"/>
      <name val="Courier New"/>
      <family val="3"/>
    </font>
    <font>
      <sz val="8"/>
      <name val="Verdana"/>
      <family val="2"/>
    </font>
    <font>
      <vertAlign val="superscript"/>
      <sz val="10"/>
      <name val="Verdana"/>
      <family val="2"/>
    </font>
    <font>
      <sz val="8"/>
      <name val="Arial"/>
      <family val="2"/>
    </font>
    <font>
      <u/>
      <sz val="8"/>
      <name val="Verdana"/>
      <family val="2"/>
    </font>
    <font>
      <strike/>
      <sz val="11"/>
      <color theme="1"/>
      <name val="Calibri"/>
      <family val="2"/>
      <scheme val="minor"/>
    </font>
    <font>
      <b/>
      <strike/>
      <sz val="11"/>
      <name val="Calibri"/>
      <family val="2"/>
      <scheme val="minor"/>
    </font>
    <font>
      <strike/>
      <sz val="11"/>
      <name val="Calibri"/>
      <family val="2"/>
      <scheme val="minor"/>
    </font>
    <font>
      <sz val="11"/>
      <color theme="0"/>
      <name val="Calibri"/>
      <family val="2"/>
      <scheme val="minor"/>
    </font>
    <font>
      <i/>
      <sz val="9"/>
      <color theme="1"/>
      <name val="Calibri"/>
      <family val="2"/>
      <scheme val="minor"/>
    </font>
    <font>
      <sz val="8"/>
      <name val="Calibri"/>
      <family val="2"/>
      <scheme val="minor"/>
    </font>
    <font>
      <i/>
      <sz val="8"/>
      <name val="Arial"/>
      <family val="2"/>
    </font>
    <font>
      <b/>
      <i/>
      <sz val="10"/>
      <name val="Arial"/>
      <family val="2"/>
    </font>
    <font>
      <i/>
      <sz val="10"/>
      <name val="Arial"/>
      <family val="2"/>
    </font>
    <font>
      <i/>
      <sz val="9"/>
      <name val="Arial"/>
      <family val="2"/>
    </font>
    <font>
      <u/>
      <sz val="10"/>
      <name val="Arial"/>
      <family val="2"/>
    </font>
    <font>
      <b/>
      <sz val="9"/>
      <name val="Arial"/>
      <family val="2"/>
    </font>
    <font>
      <sz val="11"/>
      <color theme="10"/>
      <name val="Calibri"/>
      <family val="2"/>
      <scheme val="minor"/>
    </font>
    <font>
      <strike/>
      <sz val="9"/>
      <name val="Arial"/>
      <family val="2"/>
    </font>
    <font>
      <b/>
      <sz val="18"/>
      <color theme="1"/>
      <name val="Calibri"/>
      <family val="2"/>
      <scheme val="minor"/>
    </font>
    <font>
      <b/>
      <sz val="9"/>
      <color theme="1"/>
      <name val="Calibri"/>
      <family val="2"/>
      <scheme val="minor"/>
    </font>
    <font>
      <sz val="9"/>
      <color theme="1"/>
      <name val="Calibri"/>
      <family val="2"/>
      <scheme val="minor"/>
    </font>
    <font>
      <sz val="9"/>
      <color rgb="FF92D050"/>
      <name val="Calibri"/>
      <family val="2"/>
      <scheme val="minor"/>
    </font>
    <font>
      <sz val="9"/>
      <name val="Calibri"/>
      <family val="2"/>
      <scheme val="minor"/>
    </font>
    <font>
      <b/>
      <sz val="9"/>
      <color rgb="FFFF0000"/>
      <name val="Calibri"/>
      <family val="2"/>
      <scheme val="minor"/>
    </font>
    <font>
      <sz val="11"/>
      <color rgb="FF000000"/>
      <name val="Calibri"/>
      <family val="2"/>
    </font>
    <font>
      <u/>
      <sz val="11"/>
      <color theme="1"/>
      <name val="Calibri"/>
      <family val="2"/>
      <scheme val="minor"/>
    </font>
    <font>
      <i/>
      <u/>
      <sz val="11"/>
      <color theme="1"/>
      <name val="Calibri"/>
      <family val="2"/>
      <scheme val="minor"/>
    </font>
    <font>
      <b/>
      <sz val="9"/>
      <color rgb="FF00B050"/>
      <name val="Calibri"/>
      <family val="2"/>
      <scheme val="minor"/>
    </font>
    <font>
      <sz val="16"/>
      <color theme="1"/>
      <name val="Calibri"/>
      <family val="2"/>
      <scheme val="minor"/>
    </font>
    <font>
      <sz val="9"/>
      <color rgb="FFFF0000"/>
      <name val="Calibri"/>
      <family val="2"/>
      <scheme val="minor"/>
    </font>
    <font>
      <u/>
      <sz val="11"/>
      <name val="Calibri"/>
      <family val="2"/>
      <scheme val="minor"/>
    </font>
    <font>
      <i/>
      <sz val="11"/>
      <name val="Calibri"/>
      <family val="2"/>
      <scheme val="minor"/>
    </font>
    <font>
      <b/>
      <sz val="16"/>
      <color rgb="FFFF0000"/>
      <name val="Calibri"/>
      <family val="2"/>
      <scheme val="minor"/>
    </font>
  </fonts>
  <fills count="26">
    <fill>
      <patternFill patternType="none"/>
    </fill>
    <fill>
      <patternFill patternType="gray125"/>
    </fill>
    <fill>
      <patternFill patternType="solid">
        <fgColor theme="0" tint="-0.249977111117893"/>
        <bgColor indexed="64"/>
      </patternFill>
    </fill>
    <fill>
      <patternFill patternType="solid">
        <fgColor theme="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rgb="FF2973BD"/>
        <bgColor indexed="64"/>
      </patternFill>
    </fill>
    <fill>
      <patternFill patternType="solid">
        <fgColor rgb="FFC4D8ED"/>
        <bgColor indexed="64"/>
      </patternFill>
    </fill>
    <fill>
      <patternFill patternType="mediumGray">
        <fgColor rgb="FFC0C0C0"/>
        <bgColor rgb="FFFFFFFF"/>
      </patternFill>
    </fill>
    <fill>
      <patternFill patternType="solid">
        <fgColor rgb="FFFFFFCC"/>
        <bgColor indexed="64"/>
      </patternFill>
    </fill>
    <fill>
      <patternFill patternType="solid">
        <fgColor rgb="FFF0F8FF"/>
        <bgColor indexed="64"/>
      </patternFill>
    </fill>
    <fill>
      <patternFill patternType="solid">
        <fgColor rgb="FF92D050"/>
        <bgColor indexed="64"/>
      </patternFill>
    </fill>
    <fill>
      <patternFill patternType="darkUp">
        <bgColor theme="0" tint="-0.14996795556505021"/>
      </patternFill>
    </fill>
    <fill>
      <patternFill patternType="solid">
        <fgColor theme="1" tint="0.749992370372631"/>
        <bgColor indexed="64"/>
      </patternFill>
    </fill>
    <fill>
      <patternFill patternType="solid">
        <fgColor rgb="FF00B050"/>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0" tint="-0.34998626667073579"/>
        <bgColor indexed="64"/>
      </patternFill>
    </fill>
    <fill>
      <patternFill patternType="solid">
        <fgColor rgb="FFFFC000"/>
        <bgColor indexed="64"/>
      </patternFill>
    </fill>
    <fill>
      <patternFill patternType="solid">
        <fgColor theme="3" tint="0.79998168889431442"/>
        <bgColor indexed="64"/>
      </patternFill>
    </fill>
    <fill>
      <patternFill patternType="solid">
        <fgColor theme="8" tint="0.39997558519241921"/>
        <bgColor indexed="64"/>
      </patternFill>
    </fill>
    <fill>
      <patternFill patternType="solid">
        <fgColor theme="6"/>
        <bgColor indexed="64"/>
      </patternFill>
    </fill>
  </fills>
  <borders count="8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hair">
        <color rgb="FFFFFFCC"/>
      </right>
      <top style="thin">
        <color rgb="FFC0C0C0"/>
      </top>
      <bottom style="thin">
        <color rgb="FFC0C0C0"/>
      </bottom>
      <diagonal/>
    </border>
    <border>
      <left style="hair">
        <color rgb="FFFFFFCC"/>
      </left>
      <right style="thin">
        <color rgb="FFC0C0C0"/>
      </right>
      <top style="thin">
        <color rgb="FFC0C0C0"/>
      </top>
      <bottom style="thin">
        <color rgb="FFC0C0C0"/>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s>
  <cellStyleXfs count="4">
    <xf numFmtId="0" fontId="0" fillId="0" borderId="0"/>
    <xf numFmtId="9" fontId="1" fillId="0" borderId="0" applyFont="0" applyFill="0" applyBorder="0" applyAlignment="0" applyProtection="0"/>
    <xf numFmtId="0" fontId="9" fillId="0" borderId="0" applyNumberFormat="0" applyFill="0" applyBorder="0" applyAlignment="0" applyProtection="0"/>
    <xf numFmtId="44" fontId="1" fillId="0" borderId="0" applyFont="0" applyFill="0" applyBorder="0" applyAlignment="0" applyProtection="0"/>
  </cellStyleXfs>
  <cellXfs count="1171">
    <xf numFmtId="0" fontId="0" fillId="0" borderId="0" xfId="0"/>
    <xf numFmtId="0" fontId="2" fillId="0" borderId="0" xfId="0" applyFont="1"/>
    <xf numFmtId="0" fontId="7" fillId="0" borderId="0" xfId="0" applyFont="1"/>
    <xf numFmtId="9" fontId="0" fillId="0" borderId="0" xfId="1" applyFont="1" applyProtection="1"/>
    <xf numFmtId="3" fontId="5" fillId="0" borderId="0" xfId="0" applyNumberFormat="1" applyFont="1" applyAlignment="1">
      <alignment horizontal="center"/>
    </xf>
    <xf numFmtId="0" fontId="5" fillId="0" borderId="0" xfId="0" applyFont="1"/>
    <xf numFmtId="2" fontId="2" fillId="0" borderId="0" xfId="1" applyNumberFormat="1" applyFont="1" applyFill="1" applyBorder="1" applyAlignment="1" applyProtection="1">
      <alignment horizontal="center"/>
    </xf>
    <xf numFmtId="4" fontId="4" fillId="0" borderId="0" xfId="0" applyNumberFormat="1" applyFont="1" applyAlignment="1">
      <alignment horizontal="left"/>
    </xf>
    <xf numFmtId="0" fontId="3" fillId="0" borderId="0" xfId="0" applyFont="1"/>
    <xf numFmtId="0" fontId="8" fillId="0" borderId="0" xfId="0" applyFont="1"/>
    <xf numFmtId="0" fontId="6" fillId="0" borderId="0" xfId="0" applyFont="1"/>
    <xf numFmtId="0" fontId="10" fillId="0" borderId="0" xfId="0" applyFont="1"/>
    <xf numFmtId="164" fontId="2" fillId="0" borderId="0" xfId="1" applyNumberFormat="1" applyFont="1" applyBorder="1" applyAlignment="1" applyProtection="1">
      <alignment horizontal="center"/>
    </xf>
    <xf numFmtId="0" fontId="0" fillId="0" borderId="0" xfId="0" applyAlignment="1">
      <alignment horizontal="right"/>
    </xf>
    <xf numFmtId="0" fontId="0" fillId="0" borderId="7" xfId="0" applyBorder="1"/>
    <xf numFmtId="0" fontId="0" fillId="0" borderId="8" xfId="0" applyBorder="1"/>
    <xf numFmtId="3" fontId="0" fillId="0" borderId="0" xfId="0" applyNumberFormat="1"/>
    <xf numFmtId="0" fontId="4" fillId="0" borderId="0" xfId="0" applyFont="1" applyAlignment="1">
      <alignment horizontal="left"/>
    </xf>
    <xf numFmtId="164" fontId="0" fillId="0" borderId="0" xfId="0" applyNumberFormat="1"/>
    <xf numFmtId="10" fontId="0" fillId="0" borderId="0" xfId="0" applyNumberFormat="1"/>
    <xf numFmtId="0" fontId="6" fillId="0" borderId="0" xfId="0" applyFont="1" applyAlignment="1">
      <alignment horizontal="center"/>
    </xf>
    <xf numFmtId="0" fontId="0" fillId="0" borderId="0" xfId="0" applyProtection="1">
      <protection locked="0"/>
    </xf>
    <xf numFmtId="165" fontId="0" fillId="0" borderId="0" xfId="1" applyNumberFormat="1" applyFont="1" applyBorder="1" applyProtection="1"/>
    <xf numFmtId="0" fontId="13" fillId="0" borderId="0" xfId="0" applyFont="1"/>
    <xf numFmtId="0" fontId="6" fillId="0" borderId="0" xfId="0" applyFont="1" applyAlignment="1" applyProtection="1">
      <alignment horizontal="left"/>
      <protection locked="0"/>
    </xf>
    <xf numFmtId="2" fontId="6" fillId="0" borderId="0" xfId="0" applyNumberFormat="1" applyFont="1"/>
    <xf numFmtId="0" fontId="6" fillId="0" borderId="0" xfId="0" applyFont="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3" borderId="6" xfId="0" applyFont="1" applyFill="1" applyBorder="1"/>
    <xf numFmtId="0" fontId="3" fillId="3" borderId="7" xfId="0" applyFont="1" applyFill="1" applyBorder="1"/>
    <xf numFmtId="0" fontId="3" fillId="3" borderId="9" xfId="0" applyFont="1" applyFill="1" applyBorder="1"/>
    <xf numFmtId="0" fontId="3" fillId="3" borderId="10" xfId="0" applyFont="1" applyFill="1" applyBorder="1"/>
    <xf numFmtId="0" fontId="13" fillId="3" borderId="9" xfId="0" applyFont="1" applyFill="1" applyBorder="1"/>
    <xf numFmtId="0" fontId="13" fillId="3" borderId="10" xfId="0" applyFont="1" applyFill="1" applyBorder="1"/>
    <xf numFmtId="0" fontId="15" fillId="0" borderId="0" xfId="0" applyFont="1" applyAlignment="1">
      <alignment horizontal="left"/>
    </xf>
    <xf numFmtId="3" fontId="2" fillId="0" borderId="0" xfId="0" applyNumberFormat="1" applyFont="1" applyAlignment="1">
      <alignment horizontal="right"/>
    </xf>
    <xf numFmtId="0" fontId="0" fillId="0" borderId="0" xfId="0" quotePrefix="1"/>
    <xf numFmtId="4" fontId="5" fillId="0" borderId="0" xfId="0" applyNumberFormat="1" applyFont="1" applyAlignment="1">
      <alignment horizontal="center"/>
    </xf>
    <xf numFmtId="4" fontId="0" fillId="0" borderId="0" xfId="0" applyNumberFormat="1"/>
    <xf numFmtId="0" fontId="10" fillId="0" borderId="0" xfId="0" applyFont="1" applyAlignment="1">
      <alignment horizontal="left"/>
    </xf>
    <xf numFmtId="0" fontId="0" fillId="0" borderId="0" xfId="0" applyAlignment="1" applyProtection="1">
      <alignment horizontal="left"/>
      <protection locked="0"/>
    </xf>
    <xf numFmtId="0" fontId="0" fillId="0" borderId="0" xfId="0" applyAlignment="1">
      <alignment horizontal="center" wrapText="1"/>
    </xf>
    <xf numFmtId="0" fontId="0" fillId="0" borderId="0" xfId="0" applyAlignment="1">
      <alignment vertical="top"/>
    </xf>
    <xf numFmtId="2" fontId="0" fillId="0" borderId="0" xfId="0" applyNumberFormat="1"/>
    <xf numFmtId="0" fontId="0" fillId="0" borderId="33" xfId="0" applyBorder="1"/>
    <xf numFmtId="2" fontId="0" fillId="0" borderId="25" xfId="0" applyNumberFormat="1" applyBorder="1"/>
    <xf numFmtId="0" fontId="0" fillId="0" borderId="15" xfId="0" applyBorder="1"/>
    <xf numFmtId="0" fontId="0" fillId="0" borderId="36" xfId="0" applyBorder="1"/>
    <xf numFmtId="164" fontId="17" fillId="0" borderId="0" xfId="0" applyNumberFormat="1" applyFont="1"/>
    <xf numFmtId="2" fontId="1" fillId="0" borderId="0" xfId="1" applyNumberFormat="1" applyFont="1" applyFill="1" applyBorder="1" applyAlignment="1" applyProtection="1">
      <alignment horizontal="center"/>
    </xf>
    <xf numFmtId="0" fontId="6" fillId="0" borderId="0" xfId="0" applyFont="1" applyAlignment="1">
      <alignment vertical="top" wrapText="1"/>
    </xf>
    <xf numFmtId="0" fontId="2" fillId="0" borderId="0" xfId="0" applyFont="1" applyAlignment="1">
      <alignment vertical="top" wrapText="1"/>
    </xf>
    <xf numFmtId="0" fontId="2" fillId="0" borderId="0" xfId="0" quotePrefix="1" applyFont="1"/>
    <xf numFmtId="0" fontId="10" fillId="0" borderId="0" xfId="0" applyFont="1" applyAlignment="1">
      <alignment vertical="top" wrapText="1"/>
    </xf>
    <xf numFmtId="166" fontId="2" fillId="0" borderId="16" xfId="0" applyNumberFormat="1" applyFont="1" applyBorder="1"/>
    <xf numFmtId="164" fontId="2" fillId="0" borderId="0" xfId="0" applyNumberFormat="1" applyFont="1"/>
    <xf numFmtId="164" fontId="2" fillId="0" borderId="0" xfId="0" applyNumberFormat="1" applyFont="1" applyAlignment="1">
      <alignment horizontal="right"/>
    </xf>
    <xf numFmtId="164" fontId="10" fillId="0" borderId="0" xfId="0" applyNumberFormat="1" applyFont="1"/>
    <xf numFmtId="164" fontId="0" fillId="0" borderId="30" xfId="0" applyNumberFormat="1" applyBorder="1"/>
    <xf numFmtId="164" fontId="0" fillId="0" borderId="32" xfId="0" applyNumberFormat="1" applyBorder="1"/>
    <xf numFmtId="164" fontId="0" fillId="0" borderId="25" xfId="0" applyNumberFormat="1" applyBorder="1"/>
    <xf numFmtId="44" fontId="6" fillId="0" borderId="16" xfId="3" applyFont="1" applyFill="1" applyBorder="1" applyAlignment="1" applyProtection="1">
      <alignment horizontal="right"/>
    </xf>
    <xf numFmtId="14" fontId="2" fillId="0" borderId="0" xfId="0" applyNumberFormat="1" applyFont="1"/>
    <xf numFmtId="9" fontId="2" fillId="0" borderId="0" xfId="1" applyFont="1" applyProtection="1"/>
    <xf numFmtId="0" fontId="5" fillId="0" borderId="0" xfId="0" applyFont="1" applyAlignment="1">
      <alignment horizontal="center"/>
    </xf>
    <xf numFmtId="0" fontId="8" fillId="0" borderId="4" xfId="0" applyFont="1" applyBorder="1" applyAlignment="1">
      <alignment vertical="top" wrapText="1"/>
    </xf>
    <xf numFmtId="0" fontId="12" fillId="0" borderId="7" xfId="0" applyFont="1" applyBorder="1" applyAlignment="1">
      <alignment horizontal="center"/>
    </xf>
    <xf numFmtId="0" fontId="0" fillId="0" borderId="0" xfId="0" applyAlignment="1">
      <alignment vertical="top" wrapText="1"/>
    </xf>
    <xf numFmtId="0" fontId="2" fillId="0" borderId="0" xfId="0" applyFont="1" applyAlignment="1">
      <alignment horizontal="right"/>
    </xf>
    <xf numFmtId="0" fontId="8" fillId="0" borderId="4" xfId="0" applyFont="1" applyBorder="1" applyAlignment="1">
      <alignment vertical="top"/>
    </xf>
    <xf numFmtId="0" fontId="8" fillId="0" borderId="0" xfId="0" applyFont="1" applyAlignment="1">
      <alignment vertical="top"/>
    </xf>
    <xf numFmtId="0" fontId="5" fillId="0" borderId="16" xfId="0" applyFont="1" applyBorder="1" applyAlignment="1">
      <alignment horizontal="center" vertical="top" wrapText="1"/>
    </xf>
    <xf numFmtId="0" fontId="12" fillId="0" borderId="0" xfId="0" applyFont="1" applyAlignment="1">
      <alignment horizontal="center"/>
    </xf>
    <xf numFmtId="0" fontId="0" fillId="0" borderId="0" xfId="0" applyAlignment="1">
      <alignment horizontal="left" wrapText="1"/>
    </xf>
    <xf numFmtId="0" fontId="5" fillId="0" borderId="0" xfId="0" applyFont="1" applyAlignment="1">
      <alignment vertical="top" wrapText="1"/>
    </xf>
    <xf numFmtId="0" fontId="8" fillId="0" borderId="0" xfId="0" applyFont="1" applyAlignment="1">
      <alignment vertical="top" wrapText="1"/>
    </xf>
    <xf numFmtId="0" fontId="3" fillId="0" borderId="0" xfId="0" applyFont="1" applyAlignment="1">
      <alignment horizontal="center"/>
    </xf>
    <xf numFmtId="0" fontId="13" fillId="3" borderId="9" xfId="0" applyFont="1" applyFill="1" applyBorder="1" applyAlignment="1">
      <alignment horizontal="left"/>
    </xf>
    <xf numFmtId="0" fontId="0" fillId="0" borderId="0" xfId="0" applyAlignment="1">
      <alignment horizontal="left"/>
    </xf>
    <xf numFmtId="0" fontId="0" fillId="0" borderId="7" xfId="0" applyBorder="1" applyAlignment="1">
      <alignment horizontal="center"/>
    </xf>
    <xf numFmtId="0" fontId="0" fillId="0" borderId="0" xfId="0" applyAlignment="1">
      <alignment wrapText="1"/>
    </xf>
    <xf numFmtId="0" fontId="22" fillId="0" borderId="0" xfId="0" applyFont="1"/>
    <xf numFmtId="164" fontId="9" fillId="0" borderId="0" xfId="2" applyNumberFormat="1" applyAlignment="1">
      <alignment horizontal="right"/>
    </xf>
    <xf numFmtId="0" fontId="9" fillId="0" borderId="16" xfId="2" applyBorder="1" applyAlignment="1" applyProtection="1">
      <alignment horizontal="center"/>
    </xf>
    <xf numFmtId="0" fontId="9" fillId="0" borderId="0" xfId="2"/>
    <xf numFmtId="0" fontId="0" fillId="0" borderId="0" xfId="0" applyAlignment="1">
      <alignment horizontal="center"/>
    </xf>
    <xf numFmtId="0" fontId="11" fillId="0" borderId="0" xfId="0" applyFont="1" applyAlignment="1">
      <alignment horizontal="left"/>
    </xf>
    <xf numFmtId="0" fontId="24" fillId="0" borderId="0" xfId="0" applyFont="1" applyAlignment="1">
      <alignment horizontal="center"/>
    </xf>
    <xf numFmtId="0" fontId="25" fillId="0" borderId="0" xfId="0" applyFont="1"/>
    <xf numFmtId="0" fontId="24" fillId="0" borderId="4" xfId="0" applyFont="1" applyBorder="1" applyAlignment="1">
      <alignment horizontal="left"/>
    </xf>
    <xf numFmtId="0" fontId="26" fillId="0" borderId="0" xfId="0" applyFont="1"/>
    <xf numFmtId="0" fontId="27" fillId="0" borderId="0" xfId="0" applyFont="1"/>
    <xf numFmtId="0" fontId="28" fillId="0" borderId="0" xfId="0" applyFont="1" applyAlignment="1">
      <alignment vertical="center" wrapText="1"/>
    </xf>
    <xf numFmtId="164" fontId="0" fillId="0" borderId="0" xfId="0" applyNumberFormat="1" applyProtection="1">
      <protection locked="0"/>
    </xf>
    <xf numFmtId="164" fontId="2" fillId="0" borderId="0" xfId="0" applyNumberFormat="1" applyFont="1" applyProtection="1">
      <protection locked="0"/>
    </xf>
    <xf numFmtId="0" fontId="6" fillId="0" borderId="0" xfId="0" applyFont="1" applyAlignment="1" applyProtection="1">
      <alignment vertical="top" wrapText="1"/>
      <protection locked="0"/>
    </xf>
    <xf numFmtId="2" fontId="0" fillId="0" borderId="16" xfId="0" applyNumberFormat="1" applyBorder="1"/>
    <xf numFmtId="0" fontId="8" fillId="0" borderId="0" xfId="0" quotePrefix="1" applyFont="1"/>
    <xf numFmtId="0" fontId="7" fillId="0" borderId="0" xfId="0" applyFont="1" applyAlignment="1">
      <alignment wrapText="1"/>
    </xf>
    <xf numFmtId="0" fontId="5" fillId="0" borderId="0" xfId="0" applyFont="1" applyAlignment="1">
      <alignment horizontal="right"/>
    </xf>
    <xf numFmtId="0" fontId="5" fillId="0" borderId="0" xfId="0" applyFont="1" applyAlignment="1">
      <alignment wrapText="1"/>
    </xf>
    <xf numFmtId="0" fontId="5" fillId="0" borderId="0" xfId="0" applyFont="1" applyAlignment="1">
      <alignment horizontal="right" wrapText="1"/>
    </xf>
    <xf numFmtId="164" fontId="0" fillId="0" borderId="0" xfId="0" applyNumberFormat="1" applyAlignment="1">
      <alignment horizontal="right"/>
    </xf>
    <xf numFmtId="0" fontId="29" fillId="0" borderId="55" xfId="0" applyFont="1" applyBorder="1" applyAlignment="1">
      <alignment horizontal="left" wrapText="1"/>
    </xf>
    <xf numFmtId="0" fontId="32" fillId="9" borderId="55" xfId="0" applyFont="1" applyFill="1" applyBorder="1" applyAlignment="1">
      <alignment wrapText="1"/>
    </xf>
    <xf numFmtId="0" fontId="33" fillId="10" borderId="55" xfId="0" applyFont="1" applyFill="1" applyBorder="1" applyAlignment="1">
      <alignment horizontal="center"/>
    </xf>
    <xf numFmtId="0" fontId="34" fillId="9" borderId="55" xfId="0" applyFont="1" applyFill="1" applyBorder="1" applyAlignment="1">
      <alignment vertical="top" wrapText="1"/>
    </xf>
    <xf numFmtId="0" fontId="35" fillId="0" borderId="60" xfId="0" applyFont="1" applyBorder="1" applyAlignment="1">
      <alignment horizontal="left" wrapText="1"/>
    </xf>
    <xf numFmtId="0" fontId="36" fillId="0" borderId="61" xfId="0" applyFont="1" applyBorder="1" applyAlignment="1">
      <alignment horizontal="right"/>
    </xf>
    <xf numFmtId="0" fontId="35" fillId="11" borderId="60" xfId="0" applyFont="1" applyFill="1" applyBorder="1" applyAlignment="1">
      <alignment horizontal="left" wrapText="1"/>
    </xf>
    <xf numFmtId="0" fontId="36" fillId="12" borderId="61" xfId="0" applyFont="1" applyFill="1" applyBorder="1" applyAlignment="1">
      <alignment horizontal="right"/>
    </xf>
    <xf numFmtId="0" fontId="37" fillId="0" borderId="0" xfId="0" applyFont="1" applyAlignment="1">
      <alignment horizontal="left"/>
    </xf>
    <xf numFmtId="10" fontId="0" fillId="0" borderId="0" xfId="1" applyNumberFormat="1" applyFont="1"/>
    <xf numFmtId="14" fontId="0" fillId="0" borderId="0" xfId="0" applyNumberFormat="1"/>
    <xf numFmtId="0" fontId="8" fillId="0" borderId="0" xfId="0" applyFont="1" applyAlignment="1">
      <alignment horizontal="left"/>
    </xf>
    <xf numFmtId="0" fontId="0" fillId="0" borderId="31" xfId="0" applyBorder="1"/>
    <xf numFmtId="0" fontId="0" fillId="0" borderId="29" xfId="0" applyBorder="1"/>
    <xf numFmtId="4" fontId="6" fillId="0" borderId="0" xfId="0" applyNumberFormat="1" applyFont="1" applyAlignment="1" applyProtection="1">
      <alignment horizontal="left"/>
      <protection locked="0"/>
    </xf>
    <xf numFmtId="0" fontId="13" fillId="0" borderId="0" xfId="0" applyFont="1" applyAlignment="1" applyProtection="1">
      <alignment horizontal="center"/>
      <protection locked="0"/>
    </xf>
    <xf numFmtId="164" fontId="6" fillId="0" borderId="0" xfId="0" applyNumberFormat="1" applyFont="1" applyAlignment="1" applyProtection="1">
      <alignment horizontal="center"/>
      <protection locked="0"/>
    </xf>
    <xf numFmtId="164" fontId="0" fillId="0" borderId="0" xfId="0" applyNumberFormat="1" applyAlignment="1" applyProtection="1">
      <alignment horizontal="center"/>
      <protection locked="0"/>
    </xf>
    <xf numFmtId="164" fontId="0" fillId="0" borderId="0" xfId="0" applyNumberFormat="1" applyAlignment="1">
      <alignment horizontal="center"/>
    </xf>
    <xf numFmtId="164" fontId="6" fillId="0" borderId="0" xfId="0" applyNumberFormat="1" applyFont="1" applyAlignment="1">
      <alignment horizontal="center"/>
    </xf>
    <xf numFmtId="0" fontId="6" fillId="0" borderId="0" xfId="0" applyFont="1" applyAlignment="1" applyProtection="1">
      <alignment horizontal="center"/>
      <protection locked="0"/>
    </xf>
    <xf numFmtId="164" fontId="0" fillId="0" borderId="30" xfId="0" applyNumberFormat="1" applyBorder="1" applyAlignment="1">
      <alignment horizontal="center"/>
    </xf>
    <xf numFmtId="0" fontId="6" fillId="0" borderId="30" xfId="0" applyFont="1" applyBorder="1" applyAlignment="1">
      <alignment horizontal="center"/>
    </xf>
    <xf numFmtId="10" fontId="5" fillId="0" borderId="0" xfId="1" applyNumberFormat="1" applyFont="1" applyFill="1" applyBorder="1" applyAlignment="1" applyProtection="1">
      <alignment horizontal="left"/>
      <protection locked="0"/>
    </xf>
    <xf numFmtId="0" fontId="5" fillId="0" borderId="0" xfId="0" applyFont="1" applyAlignment="1" applyProtection="1">
      <alignment horizontal="left"/>
      <protection locked="0"/>
    </xf>
    <xf numFmtId="0" fontId="3" fillId="0" borderId="0" xfId="0" applyFont="1" applyAlignment="1">
      <alignment horizontal="left"/>
    </xf>
    <xf numFmtId="2" fontId="6" fillId="0" borderId="0" xfId="1" applyNumberFormat="1" applyFont="1" applyFill="1" applyBorder="1" applyAlignment="1" applyProtection="1"/>
    <xf numFmtId="0" fontId="0" fillId="4" borderId="0" xfId="0" applyFill="1"/>
    <xf numFmtId="9" fontId="0" fillId="0" borderId="0" xfId="1" applyFont="1" applyFill="1" applyBorder="1" applyProtection="1"/>
    <xf numFmtId="44" fontId="0" fillId="0" borderId="0" xfId="3" applyFont="1" applyProtection="1"/>
    <xf numFmtId="164" fontId="6" fillId="0" borderId="29" xfId="0" applyNumberFormat="1" applyFont="1" applyBorder="1" applyAlignment="1">
      <alignment horizontal="center"/>
    </xf>
    <xf numFmtId="0" fontId="38" fillId="0" borderId="0" xfId="0" applyFont="1"/>
    <xf numFmtId="164" fontId="0" fillId="0" borderId="15" xfId="0" applyNumberFormat="1" applyBorder="1" applyAlignment="1">
      <alignment horizontal="center"/>
    </xf>
    <xf numFmtId="0" fontId="6" fillId="0" borderId="15" xfId="0" applyFont="1" applyBorder="1" applyAlignment="1">
      <alignment horizontal="center"/>
    </xf>
    <xf numFmtId="0" fontId="0" fillId="0" borderId="15" xfId="0" applyBorder="1" applyAlignment="1">
      <alignment horizontal="center"/>
    </xf>
    <xf numFmtId="3" fontId="0" fillId="0" borderId="15" xfId="0" applyNumberFormat="1" applyBorder="1" applyAlignment="1">
      <alignment horizontal="center"/>
    </xf>
    <xf numFmtId="0" fontId="6" fillId="0" borderId="29" xfId="0" applyFont="1" applyBorder="1" applyAlignment="1">
      <alignment horizontal="center"/>
    </xf>
    <xf numFmtId="3" fontId="0" fillId="0" borderId="29" xfId="0" applyNumberFormat="1" applyBorder="1" applyAlignment="1">
      <alignment horizontal="center"/>
    </xf>
    <xf numFmtId="3" fontId="0" fillId="0" borderId="30" xfId="0" applyNumberFormat="1" applyBorder="1" applyAlignment="1">
      <alignment horizontal="center"/>
    </xf>
    <xf numFmtId="164" fontId="0" fillId="0" borderId="12" xfId="0" applyNumberFormat="1" applyBorder="1" applyAlignment="1">
      <alignment horizontal="center"/>
    </xf>
    <xf numFmtId="164" fontId="0" fillId="0" borderId="70" xfId="0" applyNumberFormat="1" applyBorder="1" applyAlignment="1">
      <alignment horizontal="center"/>
    </xf>
    <xf numFmtId="164" fontId="0" fillId="0" borderId="45" xfId="0" applyNumberFormat="1" applyBorder="1" applyAlignment="1">
      <alignment horizontal="center"/>
    </xf>
    <xf numFmtId="164" fontId="39" fillId="0" borderId="0" xfId="3" applyNumberFormat="1" applyFont="1" applyBorder="1" applyAlignment="1" applyProtection="1">
      <alignment horizontal="center"/>
    </xf>
    <xf numFmtId="0" fontId="8" fillId="0" borderId="0" xfId="0" applyFont="1" applyAlignment="1">
      <alignment horizontal="center"/>
    </xf>
    <xf numFmtId="0" fontId="38" fillId="0" borderId="0" xfId="0" applyFont="1" applyAlignment="1">
      <alignment vertical="top"/>
    </xf>
    <xf numFmtId="0" fontId="9" fillId="0" borderId="0" xfId="2" applyFill="1" applyProtection="1"/>
    <xf numFmtId="2" fontId="0" fillId="0" borderId="14" xfId="0" applyNumberFormat="1" applyBorder="1"/>
    <xf numFmtId="164" fontId="0" fillId="0" borderId="14" xfId="0" applyNumberFormat="1" applyBorder="1"/>
    <xf numFmtId="164" fontId="0" fillId="13" borderId="13" xfId="0" applyNumberFormat="1" applyFill="1" applyBorder="1"/>
    <xf numFmtId="164" fontId="0" fillId="0" borderId="45" xfId="0" applyNumberFormat="1" applyBorder="1"/>
    <xf numFmtId="0" fontId="7" fillId="0" borderId="0" xfId="0" applyFont="1" applyAlignment="1">
      <alignment horizontal="left"/>
    </xf>
    <xf numFmtId="164" fontId="7" fillId="0" borderId="0" xfId="0" applyNumberFormat="1" applyFont="1"/>
    <xf numFmtId="0" fontId="18" fillId="0" borderId="0" xfId="0" applyFont="1"/>
    <xf numFmtId="2" fontId="7" fillId="0" borderId="0" xfId="0" applyNumberFormat="1" applyFont="1"/>
    <xf numFmtId="0" fontId="21" fillId="4" borderId="0" xfId="0" applyFont="1" applyFill="1"/>
    <xf numFmtId="0" fontId="2" fillId="4" borderId="16" xfId="0" applyFont="1" applyFill="1" applyBorder="1" applyAlignment="1">
      <alignment horizontal="center"/>
    </xf>
    <xf numFmtId="0" fontId="0" fillId="0" borderId="34" xfId="0" applyBorder="1" applyAlignment="1">
      <alignment horizontal="center"/>
    </xf>
    <xf numFmtId="0" fontId="0" fillId="0" borderId="16" xfId="0" applyBorder="1" applyAlignment="1">
      <alignment horizontal="center"/>
    </xf>
    <xf numFmtId="0" fontId="0" fillId="0" borderId="33" xfId="0" applyBorder="1" applyAlignment="1">
      <alignment horizontal="center"/>
    </xf>
    <xf numFmtId="0" fontId="0" fillId="0" borderId="26" xfId="0" applyBorder="1" applyAlignment="1">
      <alignment horizontal="center"/>
    </xf>
    <xf numFmtId="0" fontId="0" fillId="0" borderId="18" xfId="0" applyBorder="1"/>
    <xf numFmtId="0" fontId="0" fillId="0" borderId="20" xfId="0" applyBorder="1"/>
    <xf numFmtId="0" fontId="0" fillId="0" borderId="22" xfId="0" quotePrefix="1" applyBorder="1"/>
    <xf numFmtId="0" fontId="0" fillId="0" borderId="23" xfId="0" applyBorder="1"/>
    <xf numFmtId="0" fontId="12" fillId="0" borderId="0" xfId="0" applyFont="1"/>
    <xf numFmtId="0" fontId="2" fillId="2" borderId="0" xfId="0" applyFont="1" applyFill="1"/>
    <xf numFmtId="0" fontId="0" fillId="13" borderId="0" xfId="0" applyFill="1"/>
    <xf numFmtId="0" fontId="2" fillId="4" borderId="0" xfId="0" applyFont="1" applyFill="1"/>
    <xf numFmtId="10" fontId="0" fillId="0" borderId="15" xfId="1" applyNumberFormat="1" applyFont="1" applyFill="1" applyBorder="1"/>
    <xf numFmtId="10" fontId="0" fillId="0" borderId="15" xfId="1" applyNumberFormat="1" applyFont="1" applyBorder="1"/>
    <xf numFmtId="10" fontId="0" fillId="0" borderId="30" xfId="0" applyNumberFormat="1" applyBorder="1"/>
    <xf numFmtId="10" fontId="0" fillId="0" borderId="32" xfId="0" applyNumberFormat="1" applyBorder="1"/>
    <xf numFmtId="0" fontId="0" fillId="0" borderId="68" xfId="0" applyBorder="1"/>
    <xf numFmtId="10" fontId="0" fillId="0" borderId="43" xfId="1" applyNumberFormat="1" applyFont="1" applyFill="1" applyBorder="1"/>
    <xf numFmtId="10" fontId="0" fillId="0" borderId="50" xfId="0" applyNumberFormat="1" applyBorder="1"/>
    <xf numFmtId="0" fontId="0" fillId="0" borderId="44" xfId="0" applyBorder="1"/>
    <xf numFmtId="0" fontId="0" fillId="0" borderId="48" xfId="0" applyBorder="1" applyAlignment="1">
      <alignment horizontal="right"/>
    </xf>
    <xf numFmtId="0" fontId="0" fillId="0" borderId="45" xfId="0" applyBorder="1"/>
    <xf numFmtId="14" fontId="0" fillId="0" borderId="0" xfId="1" applyNumberFormat="1" applyFont="1"/>
    <xf numFmtId="0" fontId="7" fillId="0" borderId="0" xfId="0" applyFont="1" applyAlignment="1">
      <alignment horizontal="left" vertical="top" wrapText="1"/>
    </xf>
    <xf numFmtId="0" fontId="2" fillId="21" borderId="12" xfId="0" applyFont="1" applyFill="1" applyBorder="1"/>
    <xf numFmtId="0" fontId="7" fillId="0" borderId="0" xfId="0" applyFont="1" applyAlignment="1">
      <alignment horizontal="center"/>
    </xf>
    <xf numFmtId="0" fontId="6" fillId="5" borderId="0" xfId="0" applyFont="1" applyFill="1" applyAlignment="1">
      <alignment horizontal="left" vertical="top" wrapText="1"/>
    </xf>
    <xf numFmtId="4" fontId="0" fillId="22" borderId="0" xfId="0" applyNumberFormat="1" applyFill="1"/>
    <xf numFmtId="0" fontId="6" fillId="22" borderId="0" xfId="0" applyFont="1" applyFill="1" applyAlignment="1">
      <alignment horizontal="left" vertical="top" wrapText="1"/>
    </xf>
    <xf numFmtId="0" fontId="2" fillId="21" borderId="16" xfId="0" applyFont="1" applyFill="1" applyBorder="1" applyAlignment="1">
      <alignment horizontal="center"/>
    </xf>
    <xf numFmtId="0" fontId="0" fillId="0" borderId="16" xfId="0" applyBorder="1"/>
    <xf numFmtId="0" fontId="18" fillId="2" borderId="0" xfId="0" applyFont="1" applyFill="1"/>
    <xf numFmtId="0" fontId="9" fillId="0" borderId="0" xfId="2" applyBorder="1" applyAlignment="1" applyProtection="1">
      <alignment horizontal="center"/>
    </xf>
    <xf numFmtId="0" fontId="6" fillId="0" borderId="11" xfId="0" applyFont="1" applyBorder="1" applyAlignment="1">
      <alignment horizontal="center"/>
    </xf>
    <xf numFmtId="164" fontId="0" fillId="0" borderId="11" xfId="0" applyNumberFormat="1" applyBorder="1" applyAlignment="1">
      <alignment horizontal="center"/>
    </xf>
    <xf numFmtId="3" fontId="0" fillId="0" borderId="11" xfId="0" applyNumberFormat="1" applyBorder="1" applyAlignment="1">
      <alignment horizontal="center"/>
    </xf>
    <xf numFmtId="164" fontId="0" fillId="0" borderId="13" xfId="0" applyNumberFormat="1" applyBorder="1" applyAlignment="1">
      <alignment horizontal="center"/>
    </xf>
    <xf numFmtId="0" fontId="27" fillId="0" borderId="12" xfId="0" applyFont="1" applyBorder="1" applyAlignment="1">
      <alignment horizontal="center" vertical="center"/>
    </xf>
    <xf numFmtId="0" fontId="2" fillId="0" borderId="70" xfId="0" applyFont="1" applyBorder="1" applyAlignment="1">
      <alignment horizontal="center"/>
    </xf>
    <xf numFmtId="0" fontId="0" fillId="0" borderId="23" xfId="0" applyBorder="1" applyAlignment="1">
      <alignment horizontal="center" wrapText="1"/>
    </xf>
    <xf numFmtId="0" fontId="0" fillId="0" borderId="25" xfId="0" applyBorder="1" applyAlignment="1">
      <alignment horizontal="center" wrapText="1"/>
    </xf>
    <xf numFmtId="0" fontId="2" fillId="0" borderId="17" xfId="0" applyFont="1" applyBorder="1"/>
    <xf numFmtId="0" fontId="0" fillId="0" borderId="18" xfId="0" applyBorder="1" applyAlignment="1">
      <alignment horizontal="center" wrapText="1"/>
    </xf>
    <xf numFmtId="0" fontId="0" fillId="0" borderId="19" xfId="0" applyBorder="1" applyAlignment="1">
      <alignment horizontal="center" wrapText="1"/>
    </xf>
    <xf numFmtId="0" fontId="2" fillId="0" borderId="20" xfId="0" applyFont="1" applyBorder="1"/>
    <xf numFmtId="0" fontId="0" fillId="0" borderId="21" xfId="0" applyBorder="1" applyAlignment="1">
      <alignment horizontal="center" wrapText="1"/>
    </xf>
    <xf numFmtId="0" fontId="2" fillId="0" borderId="22" xfId="0" applyFont="1" applyBorder="1"/>
    <xf numFmtId="164" fontId="0" fillId="0" borderId="50" xfId="0" applyNumberFormat="1" applyBorder="1"/>
    <xf numFmtId="164" fontId="0" fillId="0" borderId="79" xfId="0" applyNumberFormat="1" applyBorder="1"/>
    <xf numFmtId="0" fontId="0" fillId="0" borderId="80" xfId="0" applyBorder="1" applyAlignment="1">
      <alignment horizontal="center"/>
    </xf>
    <xf numFmtId="0" fontId="0" fillId="0" borderId="81" xfId="0" applyBorder="1" applyAlignment="1">
      <alignment horizontal="center"/>
    </xf>
    <xf numFmtId="0" fontId="0" fillId="0" borderId="82" xfId="0" applyBorder="1" applyAlignment="1">
      <alignment horizontal="center"/>
    </xf>
    <xf numFmtId="0" fontId="7" fillId="0" borderId="0" xfId="0" applyFont="1" applyAlignment="1">
      <alignment vertical="top" wrapText="1"/>
    </xf>
    <xf numFmtId="0" fontId="59" fillId="0" borderId="0" xfId="0" applyFont="1"/>
    <xf numFmtId="0" fontId="60" fillId="0" borderId="0" xfId="0" applyFont="1"/>
    <xf numFmtId="0" fontId="0" fillId="2" borderId="41" xfId="0" applyFill="1" applyBorder="1"/>
    <xf numFmtId="0" fontId="2" fillId="2" borderId="85" xfId="0" applyFont="1" applyFill="1" applyBorder="1" applyAlignment="1">
      <alignment horizontal="center"/>
    </xf>
    <xf numFmtId="0" fontId="2" fillId="2" borderId="80" xfId="0" applyFont="1" applyFill="1" applyBorder="1" applyAlignment="1">
      <alignment horizontal="center"/>
    </xf>
    <xf numFmtId="0" fontId="5" fillId="0" borderId="12" xfId="0" applyFont="1" applyBorder="1" applyAlignment="1">
      <alignment vertical="top" wrapText="1"/>
    </xf>
    <xf numFmtId="0" fontId="5" fillId="0" borderId="14" xfId="0" applyFont="1" applyBorder="1" applyAlignment="1">
      <alignment vertical="top" wrapText="1"/>
    </xf>
    <xf numFmtId="0" fontId="2" fillId="0" borderId="0" xfId="0" applyFont="1" applyAlignment="1">
      <alignment horizontal="left"/>
    </xf>
    <xf numFmtId="0" fontId="0" fillId="0" borderId="19" xfId="0" applyBorder="1"/>
    <xf numFmtId="0" fontId="0" fillId="0" borderId="25" xfId="0" applyBorder="1"/>
    <xf numFmtId="0" fontId="27" fillId="6" borderId="15" xfId="0" applyFont="1" applyFill="1" applyBorder="1"/>
    <xf numFmtId="0" fontId="19" fillId="13" borderId="31" xfId="2" applyFont="1" applyFill="1" applyBorder="1" applyAlignment="1" applyProtection="1">
      <alignment horizontal="center"/>
    </xf>
    <xf numFmtId="0" fontId="19" fillId="13" borderId="32" xfId="2" applyFont="1" applyFill="1" applyBorder="1" applyAlignment="1" applyProtection="1">
      <alignment horizontal="center"/>
    </xf>
    <xf numFmtId="0" fontId="0" fillId="0" borderId="27" xfId="0" applyBorder="1"/>
    <xf numFmtId="0" fontId="0" fillId="0" borderId="37" xfId="0" applyBorder="1"/>
    <xf numFmtId="0" fontId="0" fillId="0" borderId="49" xfId="0" applyBorder="1"/>
    <xf numFmtId="0" fontId="0" fillId="0" borderId="11" xfId="0" applyBorder="1"/>
    <xf numFmtId="0" fontId="0" fillId="0" borderId="9" xfId="0" applyBorder="1"/>
    <xf numFmtId="9" fontId="0" fillId="0" borderId="15" xfId="0" applyNumberFormat="1" applyBorder="1"/>
    <xf numFmtId="0" fontId="0" fillId="0" borderId="24" xfId="0" applyBorder="1"/>
    <xf numFmtId="0" fontId="2" fillId="0" borderId="44" xfId="0" applyFont="1" applyBorder="1"/>
    <xf numFmtId="0" fontId="2" fillId="0" borderId="48" xfId="0" applyFont="1" applyBorder="1"/>
    <xf numFmtId="0" fontId="2" fillId="0" borderId="70" xfId="0" applyFont="1" applyBorder="1"/>
    <xf numFmtId="9" fontId="0" fillId="0" borderId="15" xfId="1" applyFont="1" applyBorder="1" applyProtection="1"/>
    <xf numFmtId="0" fontId="42" fillId="0" borderId="17" xfId="0" applyFont="1" applyBorder="1"/>
    <xf numFmtId="0" fontId="42" fillId="0" borderId="22" xfId="0" applyFont="1" applyBorder="1"/>
    <xf numFmtId="0" fontId="42" fillId="0" borderId="0" xfId="0" applyFont="1"/>
    <xf numFmtId="0" fontId="0" fillId="0" borderId="10" xfId="0" applyBorder="1"/>
    <xf numFmtId="10" fontId="0" fillId="0" borderId="11" xfId="1" applyNumberFormat="1" applyFont="1" applyBorder="1" applyProtection="1"/>
    <xf numFmtId="10" fontId="0" fillId="0" borderId="0" xfId="1" applyNumberFormat="1" applyFont="1" applyProtection="1"/>
    <xf numFmtId="4" fontId="58" fillId="0" borderId="0" xfId="0" applyNumberFormat="1" applyFont="1" applyAlignment="1">
      <alignment horizontal="right" vertical="center"/>
    </xf>
    <xf numFmtId="0" fontId="58" fillId="0" borderId="0" xfId="0" applyFont="1" applyAlignment="1">
      <alignment vertical="center"/>
    </xf>
    <xf numFmtId="14" fontId="0" fillId="23" borderId="16" xfId="0" applyNumberFormat="1" applyFill="1" applyBorder="1" applyProtection="1">
      <protection locked="0"/>
    </xf>
    <xf numFmtId="0" fontId="0" fillId="23" borderId="27" xfId="0" applyFill="1" applyBorder="1" applyProtection="1">
      <protection locked="0"/>
    </xf>
    <xf numFmtId="0" fontId="0" fillId="23" borderId="35" xfId="0" applyFill="1" applyBorder="1" applyProtection="1">
      <protection locked="0"/>
    </xf>
    <xf numFmtId="0" fontId="0" fillId="23" borderId="64" xfId="0" applyFill="1" applyBorder="1" applyProtection="1">
      <protection locked="0"/>
    </xf>
    <xf numFmtId="0" fontId="0" fillId="23" borderId="29" xfId="0" applyFill="1" applyBorder="1" applyProtection="1">
      <protection locked="0"/>
    </xf>
    <xf numFmtId="0" fontId="0" fillId="23" borderId="15" xfId="0" applyFill="1" applyBorder="1" applyProtection="1">
      <protection locked="0"/>
    </xf>
    <xf numFmtId="0" fontId="0" fillId="23" borderId="9" xfId="0" applyFill="1" applyBorder="1" applyProtection="1">
      <protection locked="0"/>
    </xf>
    <xf numFmtId="0" fontId="0" fillId="23" borderId="53" xfId="0" applyFill="1" applyBorder="1" applyProtection="1">
      <protection locked="0"/>
    </xf>
    <xf numFmtId="0" fontId="0" fillId="23" borderId="1" xfId="0" applyFill="1" applyBorder="1" applyProtection="1">
      <protection locked="0"/>
    </xf>
    <xf numFmtId="0" fontId="0" fillId="23" borderId="65" xfId="0" applyFill="1" applyBorder="1" applyProtection="1">
      <protection locked="0"/>
    </xf>
    <xf numFmtId="0" fontId="0" fillId="23" borderId="0" xfId="0" applyFill="1"/>
    <xf numFmtId="0" fontId="0" fillId="23" borderId="0" xfId="0" applyFill="1" applyProtection="1">
      <protection locked="0"/>
    </xf>
    <xf numFmtId="2" fontId="6" fillId="23" borderId="0" xfId="0" applyNumberFormat="1" applyFont="1" applyFill="1"/>
    <xf numFmtId="164" fontId="0" fillId="23" borderId="11" xfId="0" applyNumberFormat="1" applyFill="1" applyBorder="1" applyAlignment="1" applyProtection="1">
      <alignment horizontal="center"/>
      <protection locked="0"/>
    </xf>
    <xf numFmtId="164" fontId="0" fillId="23" borderId="0" xfId="0" applyNumberFormat="1" applyFill="1" applyAlignment="1" applyProtection="1">
      <alignment horizontal="right"/>
      <protection locked="0"/>
    </xf>
    <xf numFmtId="164" fontId="6" fillId="23" borderId="0" xfId="0" applyNumberFormat="1" applyFont="1" applyFill="1" applyAlignment="1" applyProtection="1">
      <alignment vertical="top" wrapText="1"/>
      <protection locked="0"/>
    </xf>
    <xf numFmtId="164" fontId="5" fillId="23" borderId="15" xfId="0" applyNumberFormat="1" applyFont="1" applyFill="1" applyBorder="1" applyAlignment="1" applyProtection="1">
      <alignment vertical="top" wrapText="1"/>
      <protection locked="0"/>
    </xf>
    <xf numFmtId="164" fontId="0" fillId="23" borderId="0" xfId="0" applyNumberFormat="1" applyFill="1" applyProtection="1">
      <protection locked="0"/>
    </xf>
    <xf numFmtId="164" fontId="2" fillId="23" borderId="15" xfId="0" applyNumberFormat="1" applyFont="1" applyFill="1" applyBorder="1" applyProtection="1">
      <protection locked="0"/>
    </xf>
    <xf numFmtId="164" fontId="0" fillId="23" borderId="30" xfId="0" applyNumberFormat="1" applyFill="1" applyBorder="1" applyProtection="1">
      <protection locked="0"/>
    </xf>
    <xf numFmtId="2" fontId="0" fillId="23" borderId="35" xfId="0" applyNumberFormat="1" applyFill="1" applyBorder="1" applyProtection="1">
      <protection locked="0"/>
    </xf>
    <xf numFmtId="164" fontId="0" fillId="23" borderId="35" xfId="0" applyNumberFormat="1" applyFill="1" applyBorder="1" applyProtection="1">
      <protection locked="0"/>
    </xf>
    <xf numFmtId="2" fontId="0" fillId="23" borderId="15" xfId="0" applyNumberFormat="1" applyFill="1" applyBorder="1" applyProtection="1">
      <protection locked="0"/>
    </xf>
    <xf numFmtId="164" fontId="0" fillId="23" borderId="15" xfId="0" applyNumberFormat="1" applyFill="1" applyBorder="1" applyProtection="1">
      <protection locked="0"/>
    </xf>
    <xf numFmtId="2" fontId="0" fillId="23" borderId="53" xfId="0" applyNumberFormat="1" applyFill="1" applyBorder="1" applyProtection="1">
      <protection locked="0"/>
    </xf>
    <xf numFmtId="164" fontId="0" fillId="23" borderId="53" xfId="0" applyNumberFormat="1" applyFill="1" applyBorder="1" applyProtection="1">
      <protection locked="0"/>
    </xf>
    <xf numFmtId="0" fontId="6" fillId="23" borderId="11" xfId="0" applyFont="1" applyFill="1" applyBorder="1" applyAlignment="1" applyProtection="1">
      <alignment horizontal="center"/>
      <protection locked="0"/>
    </xf>
    <xf numFmtId="0" fontId="12" fillId="23" borderId="0" xfId="0" applyFont="1" applyFill="1" applyAlignment="1">
      <alignment horizontal="center"/>
    </xf>
    <xf numFmtId="164" fontId="6" fillId="23" borderId="68" xfId="0" applyNumberFormat="1" applyFont="1" applyFill="1" applyBorder="1" applyAlignment="1" applyProtection="1">
      <alignment horizontal="center"/>
      <protection locked="0"/>
    </xf>
    <xf numFmtId="164" fontId="0" fillId="23" borderId="43" xfId="0" applyNumberFormat="1" applyFill="1" applyBorder="1" applyAlignment="1" applyProtection="1">
      <alignment horizontal="center"/>
      <protection locked="0"/>
    </xf>
    <xf numFmtId="164" fontId="6" fillId="23" borderId="43" xfId="0" applyNumberFormat="1" applyFont="1" applyFill="1" applyBorder="1" applyAlignment="1" applyProtection="1">
      <alignment horizontal="center"/>
      <protection locked="0"/>
    </xf>
    <xf numFmtId="164" fontId="0" fillId="23" borderId="50" xfId="0" applyNumberFormat="1" applyFill="1" applyBorder="1" applyAlignment="1" applyProtection="1">
      <alignment horizontal="center"/>
      <protection locked="0"/>
    </xf>
    <xf numFmtId="164" fontId="6" fillId="23" borderId="8" xfId="0" applyNumberFormat="1" applyFont="1" applyFill="1" applyBorder="1" applyAlignment="1" applyProtection="1">
      <alignment horizontal="center"/>
      <protection locked="0"/>
    </xf>
    <xf numFmtId="164" fontId="6" fillId="23" borderId="50" xfId="0" applyNumberFormat="1" applyFont="1" applyFill="1" applyBorder="1" applyAlignment="1" applyProtection="1">
      <alignment horizontal="center"/>
      <protection locked="0"/>
    </xf>
    <xf numFmtId="164" fontId="6" fillId="23" borderId="29" xfId="3" applyNumberFormat="1" applyFont="1" applyFill="1" applyBorder="1" applyAlignment="1" applyProtection="1">
      <alignment horizontal="center"/>
      <protection locked="0"/>
    </xf>
    <xf numFmtId="164" fontId="0" fillId="23" borderId="15" xfId="0" applyNumberFormat="1" applyFill="1" applyBorder="1" applyAlignment="1" applyProtection="1">
      <alignment horizontal="center"/>
      <protection locked="0"/>
    </xf>
    <xf numFmtId="164" fontId="0" fillId="23" borderId="30" xfId="0" applyNumberFormat="1" applyFill="1" applyBorder="1" applyAlignment="1" applyProtection="1">
      <alignment horizontal="center"/>
      <protection locked="0"/>
    </xf>
    <xf numFmtId="164" fontId="6" fillId="23" borderId="29" xfId="0" applyNumberFormat="1" applyFont="1" applyFill="1" applyBorder="1" applyAlignment="1" applyProtection="1">
      <alignment horizontal="center"/>
      <protection locked="0"/>
    </xf>
    <xf numFmtId="3" fontId="6" fillId="23" borderId="29" xfId="0" applyNumberFormat="1" applyFont="1" applyFill="1" applyBorder="1" applyAlignment="1" applyProtection="1">
      <alignment horizontal="center"/>
      <protection locked="0"/>
    </xf>
    <xf numFmtId="0" fontId="0" fillId="23" borderId="15" xfId="0" applyFill="1" applyBorder="1" applyAlignment="1" applyProtection="1">
      <alignment horizontal="center"/>
      <protection locked="0"/>
    </xf>
    <xf numFmtId="0" fontId="6" fillId="23" borderId="15" xfId="0" applyFont="1" applyFill="1" applyBorder="1" applyAlignment="1" applyProtection="1">
      <alignment horizontal="center"/>
      <protection locked="0"/>
    </xf>
    <xf numFmtId="0" fontId="6" fillId="23" borderId="30" xfId="0" applyFont="1" applyFill="1" applyBorder="1" applyAlignment="1" applyProtection="1">
      <alignment horizontal="center"/>
      <protection locked="0"/>
    </xf>
    <xf numFmtId="164" fontId="5" fillId="23" borderId="6" xfId="0" applyNumberFormat="1" applyFont="1" applyFill="1" applyBorder="1" applyAlignment="1" applyProtection="1">
      <alignment vertical="top" wrapText="1"/>
      <protection locked="0"/>
    </xf>
    <xf numFmtId="0" fontId="0" fillId="23" borderId="36" xfId="0" applyFill="1" applyBorder="1" applyProtection="1">
      <protection locked="0"/>
    </xf>
    <xf numFmtId="1" fontId="0" fillId="23" borderId="35" xfId="0" applyNumberFormat="1" applyFill="1" applyBorder="1" applyProtection="1">
      <protection locked="0"/>
    </xf>
    <xf numFmtId="1" fontId="0" fillId="23" borderId="15" xfId="0" applyNumberFormat="1" applyFill="1" applyBorder="1" applyProtection="1">
      <protection locked="0"/>
    </xf>
    <xf numFmtId="1" fontId="0" fillId="23" borderId="53" xfId="0" applyNumberFormat="1" applyFill="1" applyBorder="1" applyProtection="1">
      <protection locked="0"/>
    </xf>
    <xf numFmtId="1" fontId="0" fillId="0" borderId="16" xfId="0" applyNumberFormat="1" applyBorder="1"/>
    <xf numFmtId="0" fontId="3" fillId="0" borderId="4" xfId="0" applyFont="1" applyBorder="1" applyAlignment="1">
      <alignment horizontal="center"/>
    </xf>
    <xf numFmtId="0" fontId="50" fillId="23" borderId="0" xfId="2" applyFont="1" applyFill="1" applyProtection="1"/>
    <xf numFmtId="0" fontId="0" fillId="23" borderId="33" xfId="0" applyFill="1" applyBorder="1" applyProtection="1">
      <protection locked="0"/>
    </xf>
    <xf numFmtId="164" fontId="0" fillId="23" borderId="76" xfId="0" applyNumberFormat="1" applyFill="1" applyBorder="1" applyProtection="1">
      <protection locked="0"/>
    </xf>
    <xf numFmtId="1" fontId="0" fillId="23" borderId="36" xfId="0" applyNumberFormat="1" applyFill="1" applyBorder="1" applyProtection="1">
      <protection locked="0"/>
    </xf>
    <xf numFmtId="0" fontId="39" fillId="0" borderId="0" xfId="0" applyFont="1" applyAlignment="1">
      <alignment horizontal="left"/>
    </xf>
    <xf numFmtId="164" fontId="39" fillId="0" borderId="0" xfId="0" applyNumberFormat="1" applyFont="1" applyAlignment="1">
      <alignment horizontal="center"/>
    </xf>
    <xf numFmtId="0" fontId="39" fillId="0" borderId="0" xfId="0" applyFont="1" applyAlignment="1">
      <alignment horizontal="center"/>
    </xf>
    <xf numFmtId="0" fontId="40" fillId="0" borderId="0" xfId="0" applyFont="1"/>
    <xf numFmtId="0" fontId="13" fillId="0" borderId="0" xfId="0" applyFont="1" applyAlignment="1">
      <alignment horizontal="left"/>
    </xf>
    <xf numFmtId="0" fontId="13" fillId="0" borderId="23" xfId="0" applyFont="1" applyBorder="1" applyAlignment="1">
      <alignment horizontal="left"/>
    </xf>
    <xf numFmtId="0" fontId="7" fillId="0" borderId="0" xfId="0" quotePrefix="1" applyFont="1"/>
    <xf numFmtId="0" fontId="13" fillId="7" borderId="0" xfId="0" applyFont="1" applyFill="1" applyAlignment="1">
      <alignment horizontal="left"/>
    </xf>
    <xf numFmtId="49" fontId="44" fillId="0" borderId="0" xfId="0" applyNumberFormat="1" applyFont="1"/>
    <xf numFmtId="49" fontId="46" fillId="0" borderId="0" xfId="0" applyNumberFormat="1" applyFont="1"/>
    <xf numFmtId="0" fontId="6" fillId="3" borderId="6" xfId="0" applyFont="1" applyFill="1" applyBorder="1" applyAlignment="1">
      <alignment horizontal="center"/>
    </xf>
    <xf numFmtId="0" fontId="6" fillId="3" borderId="7" xfId="0" applyFont="1" applyFill="1" applyBorder="1" applyAlignment="1">
      <alignment horizontal="center"/>
    </xf>
    <xf numFmtId="0" fontId="6" fillId="3" borderId="8" xfId="0" applyFont="1" applyFill="1" applyBorder="1" applyAlignment="1">
      <alignment horizontal="center"/>
    </xf>
    <xf numFmtId="0" fontId="48" fillId="24" borderId="1" xfId="0" applyFont="1" applyFill="1" applyBorder="1" applyAlignment="1">
      <alignment horizontal="left"/>
    </xf>
    <xf numFmtId="0" fontId="48" fillId="24" borderId="2" xfId="0" applyFont="1" applyFill="1" applyBorder="1" applyAlignment="1">
      <alignment horizontal="left"/>
    </xf>
    <xf numFmtId="0" fontId="3" fillId="24" borderId="2" xfId="0" applyFont="1" applyFill="1" applyBorder="1" applyAlignment="1">
      <alignment horizontal="left"/>
    </xf>
    <xf numFmtId="10" fontId="0" fillId="0" borderId="0" xfId="1" applyNumberFormat="1" applyFont="1" applyAlignment="1" applyProtection="1">
      <alignment horizontal="center"/>
    </xf>
    <xf numFmtId="0" fontId="6" fillId="17" borderId="6" xfId="0" applyFont="1" applyFill="1" applyBorder="1" applyAlignment="1">
      <alignment horizontal="left"/>
    </xf>
    <xf numFmtId="0" fontId="6" fillId="17" borderId="7" xfId="0" applyFont="1" applyFill="1" applyBorder="1" applyAlignment="1">
      <alignment horizontal="left"/>
    </xf>
    <xf numFmtId="0" fontId="6" fillId="17" borderId="8" xfId="0" applyFont="1" applyFill="1" applyBorder="1" applyAlignment="1">
      <alignment horizontal="left"/>
    </xf>
    <xf numFmtId="0" fontId="49" fillId="0" borderId="0" xfId="0" applyFont="1"/>
    <xf numFmtId="0" fontId="13" fillId="4" borderId="9" xfId="0" applyFont="1" applyFill="1" applyBorder="1"/>
    <xf numFmtId="0" fontId="13" fillId="0" borderId="2" xfId="0" applyFont="1" applyBorder="1" applyAlignment="1">
      <alignment horizontal="left"/>
    </xf>
    <xf numFmtId="4" fontId="4" fillId="0" borderId="0" xfId="0" applyNumberFormat="1" applyFont="1"/>
    <xf numFmtId="0" fontId="13" fillId="4" borderId="15" xfId="0" applyFont="1" applyFill="1" applyBorder="1"/>
    <xf numFmtId="0" fontId="9" fillId="0" borderId="0" xfId="2" applyProtection="1"/>
    <xf numFmtId="0" fontId="50" fillId="0" borderId="0" xfId="2" applyFont="1" applyProtection="1"/>
    <xf numFmtId="0" fontId="24" fillId="0" borderId="0" xfId="0" applyFont="1"/>
    <xf numFmtId="3" fontId="0" fillId="0" borderId="0" xfId="0" applyNumberFormat="1" applyAlignment="1">
      <alignment horizontal="center"/>
    </xf>
    <xf numFmtId="0" fontId="46" fillId="0" borderId="0" xfId="0" applyFont="1"/>
    <xf numFmtId="0" fontId="7" fillId="7" borderId="0" xfId="0" applyFont="1" applyFill="1" applyAlignment="1">
      <alignment horizontal="left"/>
    </xf>
    <xf numFmtId="0" fontId="41" fillId="0" borderId="0" xfId="0" applyFont="1"/>
    <xf numFmtId="0" fontId="13" fillId="6" borderId="15" xfId="0" applyFont="1" applyFill="1" applyBorder="1"/>
    <xf numFmtId="10" fontId="0" fillId="0" borderId="0" xfId="1" applyNumberFormat="1" applyFont="1" applyBorder="1" applyProtection="1"/>
    <xf numFmtId="0" fontId="13" fillId="0" borderId="16" xfId="0" applyFont="1" applyBorder="1"/>
    <xf numFmtId="4" fontId="6" fillId="0" borderId="0" xfId="0" applyNumberFormat="1" applyFont="1"/>
    <xf numFmtId="0" fontId="15" fillId="0" borderId="0" xfId="0" applyFont="1"/>
    <xf numFmtId="0" fontId="13" fillId="4" borderId="12" xfId="0" applyFont="1" applyFill="1" applyBorder="1"/>
    <xf numFmtId="0" fontId="3" fillId="25" borderId="6" xfId="0" applyFont="1" applyFill="1" applyBorder="1"/>
    <xf numFmtId="0" fontId="3" fillId="25" borderId="7" xfId="0" applyFont="1" applyFill="1" applyBorder="1"/>
    <xf numFmtId="164" fontId="6" fillId="0" borderId="0" xfId="0" applyNumberFormat="1" applyFont="1"/>
    <xf numFmtId="0" fontId="3" fillId="25" borderId="9" xfId="0" applyFont="1" applyFill="1" applyBorder="1"/>
    <xf numFmtId="0" fontId="3" fillId="25" borderId="10" xfId="0" applyFont="1" applyFill="1" applyBorder="1"/>
    <xf numFmtId="0" fontId="13" fillId="25" borderId="9" xfId="0" applyFont="1" applyFill="1" applyBorder="1"/>
    <xf numFmtId="0" fontId="13" fillId="25" borderId="10" xfId="0" applyFont="1" applyFill="1" applyBorder="1"/>
    <xf numFmtId="0" fontId="3" fillId="25" borderId="9" xfId="0" applyFont="1" applyFill="1" applyBorder="1" applyAlignment="1">
      <alignment horizontal="left"/>
    </xf>
    <xf numFmtId="0" fontId="13" fillId="25" borderId="10" xfId="0" applyFont="1" applyFill="1" applyBorder="1" applyAlignment="1">
      <alignment horizontal="left"/>
    </xf>
    <xf numFmtId="0" fontId="13" fillId="25" borderId="9" xfId="0" applyFont="1" applyFill="1" applyBorder="1" applyAlignment="1">
      <alignment horizontal="left"/>
    </xf>
    <xf numFmtId="0" fontId="13" fillId="25" borderId="11" xfId="0" applyFont="1" applyFill="1" applyBorder="1" applyAlignment="1">
      <alignment horizontal="left"/>
    </xf>
    <xf numFmtId="0" fontId="14" fillId="0" borderId="0" xfId="0" applyFont="1"/>
    <xf numFmtId="164" fontId="0" fillId="0" borderId="6" xfId="0" applyNumberFormat="1" applyBorder="1"/>
    <xf numFmtId="1" fontId="0" fillId="0" borderId="33" xfId="0" applyNumberFormat="1" applyBorder="1"/>
    <xf numFmtId="164" fontId="0" fillId="0" borderId="16" xfId="0" applyNumberFormat="1" applyBorder="1"/>
    <xf numFmtId="164" fontId="0" fillId="0" borderId="12" xfId="0" applyNumberFormat="1" applyBorder="1"/>
    <xf numFmtId="164" fontId="0" fillId="0" borderId="44" xfId="0" applyNumberFormat="1" applyBorder="1"/>
    <xf numFmtId="0" fontId="13" fillId="6" borderId="16" xfId="0" applyFont="1" applyFill="1" applyBorder="1"/>
    <xf numFmtId="0" fontId="2" fillId="4" borderId="44" xfId="0" applyFont="1" applyFill="1" applyBorder="1" applyAlignment="1">
      <alignment horizontal="center"/>
    </xf>
    <xf numFmtId="0" fontId="2" fillId="4" borderId="45" xfId="0" applyFont="1" applyFill="1" applyBorder="1" applyAlignment="1">
      <alignment horizontal="center"/>
    </xf>
    <xf numFmtId="164" fontId="0" fillId="0" borderId="43" xfId="0" applyNumberFormat="1" applyBorder="1"/>
    <xf numFmtId="164" fontId="0" fillId="0" borderId="15" xfId="0" applyNumberFormat="1" applyBorder="1"/>
    <xf numFmtId="10" fontId="6" fillId="0" borderId="0" xfId="1" applyNumberFormat="1" applyFont="1" applyFill="1" applyAlignment="1" applyProtection="1">
      <alignment horizontal="right"/>
    </xf>
    <xf numFmtId="0" fontId="0" fillId="20" borderId="15" xfId="0" applyFill="1" applyBorder="1"/>
    <xf numFmtId="164" fontId="6" fillId="0" borderId="15" xfId="0" applyNumberFormat="1" applyFont="1" applyBorder="1"/>
    <xf numFmtId="0" fontId="6" fillId="20" borderId="15" xfId="0" applyFont="1" applyFill="1" applyBorder="1"/>
    <xf numFmtId="0" fontId="6" fillId="0" borderId="15" xfId="0" applyFont="1" applyBorder="1"/>
    <xf numFmtId="164" fontId="2" fillId="0" borderId="15" xfId="0" applyNumberFormat="1" applyFont="1" applyBorder="1"/>
    <xf numFmtId="10" fontId="2" fillId="0" borderId="16" xfId="1" applyNumberFormat="1" applyFont="1" applyBorder="1" applyAlignment="1" applyProtection="1">
      <alignment horizontal="center"/>
    </xf>
    <xf numFmtId="10" fontId="2" fillId="19" borderId="13" xfId="0" applyNumberFormat="1" applyFont="1" applyFill="1" applyBorder="1" applyAlignment="1">
      <alignment horizontal="center"/>
    </xf>
    <xf numFmtId="10" fontId="2" fillId="0" borderId="0" xfId="1" applyNumberFormat="1" applyFont="1" applyBorder="1" applyProtection="1"/>
    <xf numFmtId="10" fontId="0" fillId="2" borderId="69" xfId="1" applyNumberFormat="1" applyFont="1" applyFill="1" applyBorder="1" applyAlignment="1" applyProtection="1">
      <alignment horizontal="center"/>
    </xf>
    <xf numFmtId="0" fontId="0" fillId="2" borderId="54" xfId="0" applyFill="1" applyBorder="1" applyAlignment="1">
      <alignment horizontal="center"/>
    </xf>
    <xf numFmtId="0" fontId="20" fillId="0" borderId="0" xfId="0" applyFont="1"/>
    <xf numFmtId="0" fontId="13" fillId="0" borderId="0" xfId="0" applyFont="1" applyAlignment="1">
      <alignment horizontal="center"/>
    </xf>
    <xf numFmtId="0" fontId="6" fillId="0" borderId="0" xfId="0" applyFont="1" applyAlignment="1">
      <alignment horizontal="center" vertical="top" wrapText="1"/>
    </xf>
    <xf numFmtId="0" fontId="6" fillId="0" borderId="0" xfId="0" applyFont="1" applyAlignment="1">
      <alignment horizontal="center" vertical="top"/>
    </xf>
    <xf numFmtId="0" fontId="24" fillId="0" borderId="0" xfId="0" applyFont="1" applyAlignment="1">
      <alignment horizontal="left"/>
    </xf>
    <xf numFmtId="166" fontId="0" fillId="0" borderId="68" xfId="1" applyNumberFormat="1" applyFont="1" applyFill="1" applyBorder="1" applyAlignment="1" applyProtection="1">
      <alignment horizontal="center"/>
    </xf>
    <xf numFmtId="166" fontId="0" fillId="0" borderId="50" xfId="1" applyNumberFormat="1" applyFont="1" applyFill="1" applyBorder="1" applyAlignment="1" applyProtection="1">
      <alignment horizontal="center"/>
    </xf>
    <xf numFmtId="10" fontId="0" fillId="0" borderId="31" xfId="1" applyNumberFormat="1" applyFont="1" applyFill="1" applyBorder="1" applyAlignment="1" applyProtection="1">
      <alignment horizontal="center"/>
    </xf>
    <xf numFmtId="10" fontId="0" fillId="0" borderId="32" xfId="1" applyNumberFormat="1" applyFont="1" applyFill="1" applyBorder="1" applyAlignment="1" applyProtection="1">
      <alignment horizontal="center"/>
    </xf>
    <xf numFmtId="0" fontId="13" fillId="4" borderId="6" xfId="0" applyFont="1" applyFill="1" applyBorder="1"/>
    <xf numFmtId="0" fontId="45" fillId="0" borderId="0" xfId="0" applyFont="1"/>
    <xf numFmtId="49" fontId="47" fillId="0" borderId="0" xfId="0" applyNumberFormat="1" applyFont="1"/>
    <xf numFmtId="0" fontId="47" fillId="0" borderId="0" xfId="0" applyFont="1"/>
    <xf numFmtId="49" fontId="47" fillId="0" borderId="0" xfId="0" quotePrefix="1" applyNumberFormat="1" applyFont="1"/>
    <xf numFmtId="0" fontId="0" fillId="0" borderId="4" xfId="0" applyBorder="1"/>
    <xf numFmtId="0" fontId="51" fillId="0" borderId="0" xfId="0" applyFont="1" applyAlignment="1">
      <alignment horizontal="center"/>
    </xf>
    <xf numFmtId="164" fontId="0" fillId="13" borderId="9" xfId="0" applyNumberFormat="1" applyFill="1" applyBorder="1"/>
    <xf numFmtId="164" fontId="0" fillId="13" borderId="1" xfId="0" applyNumberFormat="1" applyFill="1" applyBorder="1"/>
    <xf numFmtId="164" fontId="0" fillId="23" borderId="32" xfId="0" applyNumberFormat="1" applyFill="1" applyBorder="1" applyProtection="1">
      <protection locked="0"/>
    </xf>
    <xf numFmtId="0" fontId="13" fillId="23" borderId="12" xfId="0" applyFont="1" applyFill="1" applyBorder="1" applyAlignment="1" applyProtection="1">
      <alignment horizontal="center"/>
      <protection locked="0"/>
    </xf>
    <xf numFmtId="0" fontId="13" fillId="23" borderId="14" xfId="0" applyFont="1" applyFill="1" applyBorder="1" applyAlignment="1" applyProtection="1">
      <alignment horizontal="center"/>
      <protection locked="0"/>
    </xf>
    <xf numFmtId="0" fontId="13" fillId="23" borderId="47" xfId="0" applyFont="1" applyFill="1" applyBorder="1" applyAlignment="1" applyProtection="1">
      <alignment horizontal="center"/>
      <protection locked="0"/>
    </xf>
    <xf numFmtId="0" fontId="13" fillId="23" borderId="70" xfId="0" applyFont="1" applyFill="1" applyBorder="1" applyAlignment="1" applyProtection="1">
      <alignment horizontal="center"/>
      <protection locked="0"/>
    </xf>
    <xf numFmtId="0" fontId="13" fillId="23" borderId="45" xfId="0" applyFont="1" applyFill="1" applyBorder="1" applyAlignment="1" applyProtection="1">
      <alignment horizontal="center"/>
      <protection locked="0"/>
    </xf>
    <xf numFmtId="4" fontId="6" fillId="0" borderId="0" xfId="0" applyNumberFormat="1" applyFont="1" applyAlignment="1">
      <alignment horizontal="left"/>
    </xf>
    <xf numFmtId="10" fontId="5" fillId="0" borderId="0" xfId="1" applyNumberFormat="1" applyFont="1" applyFill="1" applyBorder="1" applyAlignment="1" applyProtection="1">
      <alignment horizontal="left"/>
    </xf>
    <xf numFmtId="164" fontId="0" fillId="0" borderId="9" xfId="0" applyNumberFormat="1" applyBorder="1"/>
    <xf numFmtId="164" fontId="0" fillId="0" borderId="1" xfId="0" applyNumberFormat="1" applyBorder="1"/>
    <xf numFmtId="10" fontId="6" fillId="0" borderId="75" xfId="1" applyNumberFormat="1" applyFont="1" applyBorder="1" applyAlignment="1">
      <alignment horizontal="center"/>
    </xf>
    <xf numFmtId="10" fontId="0" fillId="0" borderId="53" xfId="1" applyNumberFormat="1" applyFont="1" applyBorder="1" applyAlignment="1">
      <alignment horizontal="center"/>
    </xf>
    <xf numFmtId="10" fontId="6" fillId="0" borderId="53" xfId="1" applyNumberFormat="1" applyFont="1" applyBorder="1" applyAlignment="1">
      <alignment horizontal="center"/>
    </xf>
    <xf numFmtId="10" fontId="6" fillId="0" borderId="76" xfId="1" applyNumberFormat="1" applyFont="1" applyBorder="1" applyAlignment="1">
      <alignment horizontal="center"/>
    </xf>
    <xf numFmtId="10" fontId="6" fillId="0" borderId="3" xfId="1" applyNumberFormat="1" applyFont="1" applyBorder="1" applyAlignment="1">
      <alignment horizontal="center"/>
    </xf>
    <xf numFmtId="164" fontId="0" fillId="0" borderId="78" xfId="0" applyNumberFormat="1" applyBorder="1"/>
    <xf numFmtId="0" fontId="54" fillId="0" borderId="0" xfId="0" applyFont="1"/>
    <xf numFmtId="0" fontId="57" fillId="0" borderId="0" xfId="0" applyFont="1" applyAlignment="1">
      <alignment horizontal="left" vertical="center"/>
    </xf>
    <xf numFmtId="0" fontId="53" fillId="0" borderId="0" xfId="0" quotePrefix="1" applyFont="1"/>
    <xf numFmtId="14" fontId="54" fillId="0" borderId="16" xfId="0" applyNumberFormat="1" applyFont="1" applyBorder="1"/>
    <xf numFmtId="0" fontId="55" fillId="0" borderId="0" xfId="0" applyFont="1"/>
    <xf numFmtId="0" fontId="53" fillId="0" borderId="0" xfId="0" applyFont="1"/>
    <xf numFmtId="0" fontId="56" fillId="0" borderId="41" xfId="0" applyFont="1" applyBorder="1" applyAlignment="1">
      <alignment horizontal="left"/>
    </xf>
    <xf numFmtId="0" fontId="56" fillId="0" borderId="38" xfId="0" applyFont="1" applyBorder="1" applyAlignment="1">
      <alignment horizontal="left"/>
    </xf>
    <xf numFmtId="0" fontId="56" fillId="0" borderId="39" xfId="0" applyFont="1" applyBorder="1" applyAlignment="1">
      <alignment horizontal="left"/>
    </xf>
    <xf numFmtId="0" fontId="56" fillId="0" borderId="0" xfId="0" applyFont="1" applyAlignment="1">
      <alignment horizontal="left"/>
    </xf>
    <xf numFmtId="168" fontId="54" fillId="0" borderId="43" xfId="0" applyNumberFormat="1" applyFont="1" applyBorder="1"/>
    <xf numFmtId="168" fontId="54" fillId="0" borderId="51" xfId="0" applyNumberFormat="1" applyFont="1" applyBorder="1"/>
    <xf numFmtId="168" fontId="54" fillId="0" borderId="15" xfId="0" applyNumberFormat="1" applyFont="1" applyBorder="1"/>
    <xf numFmtId="168" fontId="54" fillId="0" borderId="36" xfId="0" applyNumberFormat="1" applyFont="1" applyBorder="1"/>
    <xf numFmtId="168" fontId="54" fillId="0" borderId="6" xfId="0" applyNumberFormat="1" applyFont="1" applyBorder="1"/>
    <xf numFmtId="169" fontId="54" fillId="0" borderId="43" xfId="0" applyNumberFormat="1" applyFont="1" applyBorder="1"/>
    <xf numFmtId="168" fontId="54" fillId="0" borderId="9" xfId="0" applyNumberFormat="1" applyFont="1" applyBorder="1"/>
    <xf numFmtId="169" fontId="54" fillId="0" borderId="15" xfId="0" applyNumberFormat="1" applyFont="1" applyBorder="1"/>
    <xf numFmtId="168" fontId="54" fillId="0" borderId="65" xfId="0" applyNumberFormat="1" applyFont="1" applyBorder="1"/>
    <xf numFmtId="169" fontId="54" fillId="0" borderId="36" xfId="0" applyNumberFormat="1" applyFont="1" applyBorder="1"/>
    <xf numFmtId="2" fontId="54" fillId="0" borderId="0" xfId="0" applyNumberFormat="1" applyFont="1"/>
    <xf numFmtId="0" fontId="54" fillId="0" borderId="0" xfId="0" quotePrefix="1" applyFont="1"/>
    <xf numFmtId="10" fontId="41" fillId="0" borderId="0" xfId="0" applyNumberFormat="1" applyFont="1"/>
    <xf numFmtId="0" fontId="0" fillId="14" borderId="29" xfId="0" applyFill="1" applyBorder="1"/>
    <xf numFmtId="0" fontId="0" fillId="14" borderId="75" xfId="0" applyFill="1" applyBorder="1"/>
    <xf numFmtId="164" fontId="5" fillId="0" borderId="43" xfId="0" applyNumberFormat="1" applyFont="1" applyBorder="1" applyAlignment="1">
      <alignment vertical="top" wrapText="1"/>
    </xf>
    <xf numFmtId="164" fontId="6" fillId="0" borderId="0" xfId="0" applyNumberFormat="1" applyFont="1" applyAlignment="1">
      <alignment vertical="top" wrapText="1"/>
    </xf>
    <xf numFmtId="164" fontId="5" fillId="0" borderId="15" xfId="0" applyNumberFormat="1" applyFont="1" applyBorder="1" applyAlignment="1">
      <alignment vertical="top" wrapText="1"/>
    </xf>
    <xf numFmtId="0" fontId="53" fillId="4" borderId="47" xfId="0" applyFont="1" applyFill="1" applyBorder="1"/>
    <xf numFmtId="0" fontId="53" fillId="4" borderId="12" xfId="0" applyFont="1" applyFill="1" applyBorder="1" applyAlignment="1">
      <alignment horizontal="center"/>
    </xf>
    <xf numFmtId="0" fontId="53" fillId="4" borderId="16" xfId="0" applyFont="1" applyFill="1" applyBorder="1" applyAlignment="1">
      <alignment horizontal="center" vertical="center" wrapText="1"/>
    </xf>
    <xf numFmtId="0" fontId="53" fillId="4" borderId="16" xfId="0" applyFont="1" applyFill="1" applyBorder="1" applyAlignment="1">
      <alignment horizontal="center" wrapText="1"/>
    </xf>
    <xf numFmtId="0" fontId="53" fillId="4" borderId="16" xfId="0" applyFont="1" applyFill="1" applyBorder="1" applyAlignment="1">
      <alignment horizontal="center"/>
    </xf>
    <xf numFmtId="0" fontId="0" fillId="0" borderId="0" xfId="0" applyAlignment="1">
      <alignment horizontal="left" vertical="top" wrapText="1"/>
    </xf>
    <xf numFmtId="0" fontId="6" fillId="0" borderId="0" xfId="0" applyFont="1" applyAlignment="1">
      <alignment horizontal="left" vertical="top" wrapText="1"/>
    </xf>
    <xf numFmtId="0" fontId="2" fillId="21" borderId="16" xfId="0" applyFont="1" applyFill="1" applyBorder="1"/>
    <xf numFmtId="0" fontId="18" fillId="0" borderId="0" xfId="0" applyFont="1" applyAlignment="1">
      <alignment horizontal="left" vertical="top" wrapText="1"/>
    </xf>
    <xf numFmtId="0" fontId="62" fillId="0" borderId="0" xfId="0" applyFont="1" applyAlignment="1">
      <alignment horizontal="left" vertical="top" wrapText="1"/>
    </xf>
    <xf numFmtId="0" fontId="6" fillId="22" borderId="34" xfId="0" applyFont="1" applyFill="1" applyBorder="1" applyAlignment="1">
      <alignment horizontal="left" vertical="top" wrapText="1"/>
    </xf>
    <xf numFmtId="0" fontId="2" fillId="21" borderId="14" xfId="0" applyFont="1" applyFill="1" applyBorder="1" applyAlignment="1">
      <alignment horizontal="center"/>
    </xf>
    <xf numFmtId="0" fontId="2" fillId="0" borderId="69" xfId="0" applyFont="1" applyBorder="1" applyAlignment="1">
      <alignment horizontal="center"/>
    </xf>
    <xf numFmtId="0" fontId="6" fillId="22" borderId="34" xfId="0" applyFont="1" applyFill="1" applyBorder="1" applyAlignment="1">
      <alignment horizontal="right" vertical="top" wrapText="1"/>
    </xf>
    <xf numFmtId="0" fontId="2" fillId="21" borderId="32" xfId="0" applyFont="1" applyFill="1" applyBorder="1" applyAlignment="1">
      <alignment horizontal="center"/>
    </xf>
    <xf numFmtId="0" fontId="2" fillId="21" borderId="31" xfId="0" applyFont="1" applyFill="1" applyBorder="1" applyAlignment="1">
      <alignment horizontal="center"/>
    </xf>
    <xf numFmtId="0" fontId="6" fillId="22" borderId="79" xfId="0" applyFont="1" applyFill="1" applyBorder="1" applyAlignment="1">
      <alignment horizontal="right" vertical="top" wrapText="1"/>
    </xf>
    <xf numFmtId="0" fontId="6" fillId="22" borderId="50" xfId="0" applyFont="1" applyFill="1" applyBorder="1" applyAlignment="1">
      <alignment horizontal="right" vertical="top" wrapText="1"/>
    </xf>
    <xf numFmtId="0" fontId="0" fillId="0" borderId="20" xfId="0" applyBorder="1" applyAlignment="1">
      <alignment horizontal="center"/>
    </xf>
    <xf numFmtId="4" fontId="6" fillId="22" borderId="87" xfId="0" applyNumberFormat="1" applyFont="1" applyFill="1" applyBorder="1" applyAlignment="1">
      <alignment horizontal="right" vertical="top" wrapText="1"/>
    </xf>
    <xf numFmtId="4" fontId="0" fillId="13" borderId="15" xfId="0" applyNumberFormat="1" applyFill="1" applyBorder="1"/>
    <xf numFmtId="4" fontId="0" fillId="13" borderId="6" xfId="0" applyNumberFormat="1" applyFill="1" applyBorder="1"/>
    <xf numFmtId="4" fontId="0" fillId="13" borderId="50" xfId="0" applyNumberFormat="1" applyFill="1" applyBorder="1"/>
    <xf numFmtId="4" fontId="0" fillId="13" borderId="9" xfId="0" applyNumberFormat="1" applyFill="1" applyBorder="1"/>
    <xf numFmtId="4" fontId="0" fillId="13" borderId="30" xfId="0" applyNumberFormat="1" applyFill="1" applyBorder="1"/>
    <xf numFmtId="4" fontId="0" fillId="13" borderId="65" xfId="0" applyNumberFormat="1" applyFill="1" applyBorder="1"/>
    <xf numFmtId="4" fontId="0" fillId="13" borderId="32" xfId="0" applyNumberFormat="1" applyFill="1" applyBorder="1"/>
    <xf numFmtId="4" fontId="0" fillId="13" borderId="53" xfId="0" applyNumberFormat="1" applyFill="1" applyBorder="1"/>
    <xf numFmtId="3" fontId="2" fillId="0" borderId="14" xfId="0" applyNumberFormat="1" applyFont="1" applyBorder="1"/>
    <xf numFmtId="3" fontId="2" fillId="0" borderId="16" xfId="0" applyNumberFormat="1" applyFont="1" applyBorder="1"/>
    <xf numFmtId="3" fontId="2" fillId="0" borderId="0" xfId="0" applyNumberFormat="1" applyFont="1"/>
    <xf numFmtId="4" fontId="0" fillId="13" borderId="1" xfId="0" applyNumberFormat="1" applyFill="1" applyBorder="1"/>
    <xf numFmtId="4" fontId="0" fillId="13" borderId="76" xfId="0" applyNumberFormat="1" applyFill="1" applyBorder="1"/>
    <xf numFmtId="4" fontId="2" fillId="0" borderId="14" xfId="0" applyNumberFormat="1" applyFont="1" applyBorder="1"/>
    <xf numFmtId="4" fontId="2" fillId="0" borderId="16" xfId="0" applyNumberFormat="1" applyFont="1" applyBorder="1"/>
    <xf numFmtId="164" fontId="8" fillId="0" borderId="0" xfId="0" applyNumberFormat="1" applyFont="1"/>
    <xf numFmtId="0" fontId="2" fillId="21" borderId="0" xfId="0" applyFont="1" applyFill="1" applyAlignment="1">
      <alignment wrapText="1"/>
    </xf>
    <xf numFmtId="4" fontId="2" fillId="21" borderId="0" xfId="0" applyNumberFormat="1" applyFont="1" applyFill="1" applyAlignment="1">
      <alignment wrapText="1"/>
    </xf>
    <xf numFmtId="0" fontId="54" fillId="0" borderId="0" xfId="0" applyFont="1" applyProtection="1">
      <protection hidden="1"/>
    </xf>
    <xf numFmtId="0" fontId="54" fillId="0" borderId="0" xfId="0" applyFont="1" applyAlignment="1" applyProtection="1">
      <alignment horizontal="center" vertical="center"/>
      <protection hidden="1"/>
    </xf>
    <xf numFmtId="0" fontId="0" fillId="13" borderId="20" xfId="0" applyFill="1" applyBorder="1" applyProtection="1">
      <protection locked="0"/>
    </xf>
    <xf numFmtId="0" fontId="0" fillId="13" borderId="22" xfId="0" applyFill="1" applyBorder="1" applyProtection="1">
      <protection locked="0"/>
    </xf>
    <xf numFmtId="0" fontId="0" fillId="5" borderId="0" xfId="0" applyFill="1" applyProtection="1">
      <protection locked="0"/>
    </xf>
    <xf numFmtId="0" fontId="0" fillId="13" borderId="0" xfId="0" applyFill="1" applyProtection="1">
      <protection locked="0"/>
    </xf>
    <xf numFmtId="3" fontId="0" fillId="13" borderId="0" xfId="0" applyNumberFormat="1" applyFill="1" applyProtection="1">
      <protection locked="0"/>
    </xf>
    <xf numFmtId="9" fontId="0" fillId="13" borderId="0" xfId="0" applyNumberFormat="1" applyFill="1" applyProtection="1">
      <protection locked="0"/>
    </xf>
    <xf numFmtId="164" fontId="0" fillId="0" borderId="85" xfId="0" applyNumberFormat="1" applyBorder="1"/>
    <xf numFmtId="164" fontId="0" fillId="0" borderId="66" xfId="0" applyNumberFormat="1" applyBorder="1"/>
    <xf numFmtId="164" fontId="0" fillId="23" borderId="88" xfId="0" applyNumberFormat="1" applyFill="1" applyBorder="1" applyProtection="1">
      <protection locked="0"/>
    </xf>
    <xf numFmtId="0" fontId="57" fillId="0" borderId="0" xfId="0" applyFont="1"/>
    <xf numFmtId="0" fontId="63" fillId="0" borderId="0" xfId="0" applyFont="1"/>
    <xf numFmtId="2" fontId="54" fillId="0" borderId="0" xfId="0" applyNumberFormat="1" applyFont="1" applyAlignment="1">
      <alignment horizontal="left"/>
    </xf>
    <xf numFmtId="2" fontId="53" fillId="4" borderId="48" xfId="0" applyNumberFormat="1" applyFont="1" applyFill="1" applyBorder="1" applyAlignment="1">
      <alignment horizontal="center" vertical="center" wrapText="1"/>
    </xf>
    <xf numFmtId="2" fontId="54" fillId="0" borderId="43" xfId="0" applyNumberFormat="1" applyFont="1" applyBorder="1"/>
    <xf numFmtId="2" fontId="54" fillId="0" borderId="51" xfId="0" applyNumberFormat="1" applyFont="1" applyBorder="1"/>
    <xf numFmtId="2" fontId="53" fillId="4" borderId="47" xfId="0" applyNumberFormat="1" applyFont="1" applyFill="1" applyBorder="1"/>
    <xf numFmtId="2" fontId="54" fillId="0" borderId="15" xfId="0" applyNumberFormat="1" applyFont="1" applyBorder="1"/>
    <xf numFmtId="2" fontId="54" fillId="0" borderId="36" xfId="0" applyNumberFormat="1" applyFont="1" applyBorder="1"/>
    <xf numFmtId="2" fontId="53" fillId="4" borderId="48" xfId="0" applyNumberFormat="1" applyFont="1" applyFill="1" applyBorder="1"/>
    <xf numFmtId="2" fontId="53" fillId="4" borderId="16" xfId="0" applyNumberFormat="1" applyFont="1" applyFill="1" applyBorder="1" applyAlignment="1">
      <alignment horizontal="center" vertical="center" wrapText="1"/>
    </xf>
    <xf numFmtId="2" fontId="0" fillId="0" borderId="0" xfId="0" applyNumberFormat="1" applyAlignment="1">
      <alignment wrapText="1"/>
    </xf>
    <xf numFmtId="2" fontId="54" fillId="0" borderId="6" xfId="0" applyNumberFormat="1" applyFont="1" applyBorder="1"/>
    <xf numFmtId="2" fontId="54" fillId="0" borderId="73" xfId="0" applyNumberFormat="1" applyFont="1" applyBorder="1"/>
    <xf numFmtId="2" fontId="53" fillId="4" borderId="16" xfId="0" applyNumberFormat="1" applyFont="1" applyFill="1" applyBorder="1" applyAlignment="1">
      <alignment horizontal="center"/>
    </xf>
    <xf numFmtId="2" fontId="13" fillId="0" borderId="0" xfId="0" applyNumberFormat="1" applyFont="1"/>
    <xf numFmtId="2" fontId="53" fillId="4" borderId="45" xfId="0" applyNumberFormat="1" applyFont="1" applyFill="1" applyBorder="1" applyAlignment="1">
      <alignment horizontal="center" vertical="center" wrapText="1"/>
    </xf>
    <xf numFmtId="2" fontId="54" fillId="0" borderId="50" xfId="0" applyNumberFormat="1" applyFont="1" applyBorder="1"/>
    <xf numFmtId="2" fontId="54" fillId="0" borderId="52" xfId="0" applyNumberFormat="1" applyFont="1" applyBorder="1"/>
    <xf numFmtId="2" fontId="54" fillId="0" borderId="30" xfId="0" applyNumberFormat="1" applyFont="1" applyBorder="1"/>
    <xf numFmtId="2" fontId="54" fillId="0" borderId="32" xfId="0" applyNumberFormat="1" applyFont="1" applyBorder="1"/>
    <xf numFmtId="2" fontId="53" fillId="4" borderId="16" xfId="0" applyNumberFormat="1" applyFont="1" applyFill="1" applyBorder="1" applyAlignment="1">
      <alignment horizontal="center" wrapText="1"/>
    </xf>
    <xf numFmtId="2" fontId="54" fillId="0" borderId="77" xfId="0" applyNumberFormat="1" applyFont="1" applyBorder="1"/>
    <xf numFmtId="2" fontId="54" fillId="0" borderId="66" xfId="0" applyNumberFormat="1" applyFont="1" applyBorder="1"/>
    <xf numFmtId="2" fontId="54" fillId="0" borderId="67" xfId="0" applyNumberFormat="1" applyFont="1" applyBorder="1"/>
    <xf numFmtId="2" fontId="54" fillId="0" borderId="49" xfId="0" applyNumberFormat="1" applyFont="1" applyBorder="1"/>
    <xf numFmtId="2" fontId="54" fillId="0" borderId="33" xfId="0" applyNumberFormat="1" applyFont="1" applyBorder="1"/>
    <xf numFmtId="2" fontId="53" fillId="4" borderId="45" xfId="0" applyNumberFormat="1" applyFont="1" applyFill="1" applyBorder="1" applyAlignment="1">
      <alignment horizontal="right"/>
    </xf>
    <xf numFmtId="2" fontId="54" fillId="4" borderId="45" xfId="0" applyNumberFormat="1" applyFont="1" applyFill="1" applyBorder="1" applyAlignment="1">
      <alignment horizontal="right"/>
    </xf>
    <xf numFmtId="168" fontId="54" fillId="0" borderId="0" xfId="0" quotePrefix="1" applyNumberFormat="1" applyFont="1" applyAlignment="1">
      <alignment horizontal="left"/>
    </xf>
    <xf numFmtId="168" fontId="0" fillId="0" borderId="0" xfId="0" applyNumberFormat="1" applyAlignment="1">
      <alignment horizontal="left"/>
    </xf>
    <xf numFmtId="168" fontId="0" fillId="0" borderId="0" xfId="0" applyNumberFormat="1"/>
    <xf numFmtId="3" fontId="6" fillId="0" borderId="0" xfId="0" applyNumberFormat="1" applyFont="1" applyAlignment="1">
      <alignment horizontal="center"/>
    </xf>
    <xf numFmtId="0" fontId="5" fillId="0" borderId="0" xfId="0" applyFont="1" applyAlignment="1">
      <alignment horizontal="left"/>
    </xf>
    <xf numFmtId="0" fontId="6" fillId="0" borderId="0" xfId="2" applyFont="1" applyFill="1" applyAlignment="1" applyProtection="1">
      <alignment horizontal="center"/>
    </xf>
    <xf numFmtId="0" fontId="64" fillId="0" borderId="0" xfId="2" applyFont="1" applyProtection="1"/>
    <xf numFmtId="3" fontId="65" fillId="0" borderId="0" xfId="0" applyNumberFormat="1" applyFont="1" applyAlignment="1" applyProtection="1">
      <alignment horizontal="center"/>
      <protection locked="0"/>
    </xf>
    <xf numFmtId="0" fontId="6" fillId="7" borderId="0" xfId="0" applyFont="1" applyFill="1" applyAlignment="1">
      <alignment horizontal="left"/>
    </xf>
    <xf numFmtId="0" fontId="65" fillId="0" borderId="0" xfId="0" applyFont="1"/>
    <xf numFmtId="3" fontId="65" fillId="0" borderId="0" xfId="0" applyNumberFormat="1" applyFont="1" applyAlignment="1">
      <alignment horizontal="center"/>
    </xf>
    <xf numFmtId="0" fontId="65" fillId="0" borderId="0" xfId="0" applyFont="1" applyAlignment="1">
      <alignment horizontal="center"/>
    </xf>
    <xf numFmtId="10" fontId="6" fillId="0" borderId="0" xfId="0" applyNumberFormat="1" applyFont="1" applyAlignment="1">
      <alignment horizontal="center"/>
    </xf>
    <xf numFmtId="0" fontId="25" fillId="0" borderId="0" xfId="0" applyFont="1" applyAlignment="1">
      <alignment horizontal="left" vertical="center"/>
    </xf>
    <xf numFmtId="0" fontId="66" fillId="0" borderId="0" xfId="0" applyFont="1"/>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5" xfId="0" applyBorder="1" applyAlignment="1">
      <alignment horizontal="center" vertical="center" wrapText="1"/>
    </xf>
    <xf numFmtId="0" fontId="0" fillId="0" borderId="20" xfId="0"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0" fillId="0" borderId="26" xfId="0"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center" vertical="center"/>
    </xf>
    <xf numFmtId="0" fontId="9" fillId="0" borderId="86" xfId="2" applyBorder="1" applyAlignment="1">
      <alignment horizontal="center" vertical="top" wrapText="1"/>
    </xf>
    <xf numFmtId="0" fontId="0" fillId="0" borderId="49" xfId="0" applyBorder="1" applyAlignment="1">
      <alignment horizontal="center" vertical="top" wrapText="1"/>
    </xf>
    <xf numFmtId="0" fontId="0" fillId="0" borderId="33" xfId="0" applyBorder="1" applyAlignment="1">
      <alignment horizontal="center" vertical="top" wrapText="1"/>
    </xf>
    <xf numFmtId="0" fontId="0" fillId="0" borderId="86" xfId="0" applyBorder="1" applyAlignment="1">
      <alignment horizontal="center" wrapText="1"/>
    </xf>
    <xf numFmtId="0" fontId="0" fillId="0" borderId="34" xfId="0" applyBorder="1" applyAlignment="1">
      <alignment horizontal="center" wrapText="1"/>
    </xf>
    <xf numFmtId="0" fontId="21" fillId="4" borderId="12" xfId="0" applyFont="1" applyFill="1" applyBorder="1" applyAlignment="1">
      <alignment horizontal="center" vertical="center"/>
    </xf>
    <xf numFmtId="0" fontId="21" fillId="4" borderId="13" xfId="0" applyFont="1" applyFill="1" applyBorder="1" applyAlignment="1">
      <alignment horizontal="center" vertical="center"/>
    </xf>
    <xf numFmtId="0" fontId="21" fillId="4" borderId="14" xfId="0" applyFont="1" applyFill="1" applyBorder="1" applyAlignment="1">
      <alignment horizontal="center" vertical="center"/>
    </xf>
    <xf numFmtId="0" fontId="6" fillId="0" borderId="26"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3" xfId="0" applyFont="1" applyBorder="1" applyAlignment="1">
      <alignment horizontal="center" vertical="center" wrapText="1"/>
    </xf>
    <xf numFmtId="0" fontId="0" fillId="0" borderId="83" xfId="0" quotePrefix="1" applyBorder="1" applyAlignment="1">
      <alignment vertical="top" wrapText="1"/>
    </xf>
    <xf numFmtId="0" fontId="0" fillId="0" borderId="20" xfId="0" applyBorder="1" applyAlignment="1">
      <alignment vertical="top" wrapText="1"/>
    </xf>
    <xf numFmtId="0" fontId="0" fillId="0" borderId="84" xfId="0" applyBorder="1" applyAlignment="1">
      <alignment vertical="top" wrapText="1"/>
    </xf>
    <xf numFmtId="0" fontId="0" fillId="0" borderId="22" xfId="0" applyBorder="1" applyAlignment="1">
      <alignment vertical="top" wrapText="1"/>
    </xf>
    <xf numFmtId="0" fontId="0" fillId="0" borderId="49" xfId="0" applyBorder="1" applyAlignment="1">
      <alignment horizontal="center" wrapText="1"/>
    </xf>
    <xf numFmtId="0" fontId="0" fillId="0" borderId="33" xfId="0" applyBorder="1" applyAlignment="1">
      <alignment horizontal="center" wrapText="1"/>
    </xf>
    <xf numFmtId="0" fontId="0" fillId="0" borderId="34" xfId="0" applyBorder="1" applyAlignment="1">
      <alignment horizontal="center" vertical="top" wrapText="1"/>
    </xf>
    <xf numFmtId="0" fontId="52" fillId="15" borderId="17" xfId="0" applyFont="1" applyFill="1" applyBorder="1" applyAlignment="1">
      <alignment horizontal="center"/>
    </xf>
    <xf numFmtId="0" fontId="52" fillId="15" borderId="18" xfId="0" applyFont="1" applyFill="1" applyBorder="1" applyAlignment="1">
      <alignment horizontal="center"/>
    </xf>
    <xf numFmtId="0" fontId="52" fillId="15" borderId="19" xfId="0" applyFont="1" applyFill="1" applyBorder="1" applyAlignment="1">
      <alignment horizontal="center"/>
    </xf>
    <xf numFmtId="0" fontId="52" fillId="15" borderId="22" xfId="0" applyFont="1" applyFill="1" applyBorder="1" applyAlignment="1">
      <alignment horizontal="center"/>
    </xf>
    <xf numFmtId="0" fontId="52" fillId="15" borderId="23" xfId="0" applyFont="1" applyFill="1" applyBorder="1" applyAlignment="1">
      <alignment horizontal="center"/>
    </xf>
    <xf numFmtId="0" fontId="52" fillId="15" borderId="25" xfId="0" applyFont="1" applyFill="1" applyBorder="1" applyAlignment="1">
      <alignment horizontal="center"/>
    </xf>
    <xf numFmtId="0" fontId="6" fillId="0" borderId="39" xfId="0" applyFont="1" applyBorder="1" applyAlignment="1">
      <alignment horizontal="left"/>
    </xf>
    <xf numFmtId="0" fontId="6" fillId="0" borderId="40" xfId="0" applyFont="1" applyBorder="1" applyAlignment="1">
      <alignment horizontal="left"/>
    </xf>
    <xf numFmtId="0" fontId="0" fillId="23" borderId="65" xfId="0" applyFill="1" applyBorder="1" applyAlignment="1" applyProtection="1">
      <alignment horizontal="left"/>
      <protection locked="0"/>
    </xf>
    <xf numFmtId="0" fontId="0" fillId="23" borderId="40" xfId="0" applyFill="1" applyBorder="1" applyAlignment="1" applyProtection="1">
      <alignment horizontal="left"/>
      <protection locked="0"/>
    </xf>
    <xf numFmtId="0" fontId="0" fillId="23" borderId="67" xfId="0" applyFill="1" applyBorder="1" applyAlignment="1" applyProtection="1">
      <alignment horizontal="left"/>
      <protection locked="0"/>
    </xf>
    <xf numFmtId="0" fontId="6" fillId="0" borderId="29" xfId="0" applyFont="1" applyBorder="1" applyAlignment="1">
      <alignment horizontal="left"/>
    </xf>
    <xf numFmtId="0" fontId="6" fillId="0" borderId="15" xfId="0" applyFont="1" applyBorder="1" applyAlignment="1">
      <alignment horizontal="left"/>
    </xf>
    <xf numFmtId="0" fontId="0" fillId="23" borderId="15" xfId="0" applyFill="1" applyBorder="1" applyAlignment="1" applyProtection="1">
      <alignment horizontal="left"/>
      <protection locked="0"/>
    </xf>
    <xf numFmtId="0" fontId="0" fillId="23" borderId="30" xfId="0" applyFill="1" applyBorder="1" applyAlignment="1" applyProtection="1">
      <alignment horizontal="left"/>
      <protection locked="0"/>
    </xf>
    <xf numFmtId="0" fontId="6" fillId="0" borderId="38" xfId="0" applyFont="1" applyBorder="1" applyAlignment="1">
      <alignment horizontal="left"/>
    </xf>
    <xf numFmtId="0" fontId="6" fillId="0" borderId="10" xfId="0" applyFont="1" applyBorder="1" applyAlignment="1">
      <alignment horizontal="left"/>
    </xf>
    <xf numFmtId="167" fontId="0" fillId="23" borderId="9" xfId="0" applyNumberFormat="1" applyFill="1" applyBorder="1" applyAlignment="1" applyProtection="1">
      <alignment horizontal="left"/>
      <protection locked="0"/>
    </xf>
    <xf numFmtId="167" fontId="0" fillId="23" borderId="10" xfId="0" applyNumberFormat="1" applyFill="1" applyBorder="1" applyAlignment="1" applyProtection="1">
      <alignment horizontal="left"/>
      <protection locked="0"/>
    </xf>
    <xf numFmtId="167" fontId="0" fillId="23" borderId="66" xfId="0" applyNumberFormat="1" applyFill="1" applyBorder="1" applyAlignment="1" applyProtection="1">
      <alignment horizontal="left"/>
      <protection locked="0"/>
    </xf>
    <xf numFmtId="0" fontId="0" fillId="23" borderId="9" xfId="0" quotePrefix="1" applyFill="1" applyBorder="1" applyAlignment="1" applyProtection="1">
      <alignment horizontal="left"/>
      <protection locked="0"/>
    </xf>
    <xf numFmtId="0" fontId="0" fillId="23" borderId="10" xfId="0" applyFill="1" applyBorder="1" applyAlignment="1" applyProtection="1">
      <alignment horizontal="left"/>
      <protection locked="0"/>
    </xf>
    <xf numFmtId="0" fontId="0" fillId="23" borderId="66" xfId="0" applyFill="1" applyBorder="1" applyAlignment="1" applyProtection="1">
      <alignment horizontal="left"/>
      <protection locked="0"/>
    </xf>
    <xf numFmtId="0" fontId="0" fillId="23" borderId="9" xfId="0" applyFill="1" applyBorder="1" applyAlignment="1" applyProtection="1">
      <alignment horizontal="left"/>
      <protection locked="0"/>
    </xf>
    <xf numFmtId="0" fontId="6" fillId="0" borderId="17" xfId="0" applyFont="1" applyBorder="1" applyAlignment="1">
      <alignment horizontal="left"/>
    </xf>
    <xf numFmtId="0" fontId="6" fillId="0" borderId="18" xfId="0" applyFont="1" applyBorder="1" applyAlignment="1">
      <alignment horizontal="left"/>
    </xf>
    <xf numFmtId="0" fontId="9" fillId="23" borderId="9" xfId="2" applyFill="1" applyBorder="1" applyAlignment="1" applyProtection="1">
      <alignment horizontal="left"/>
      <protection locked="0"/>
    </xf>
    <xf numFmtId="0" fontId="1" fillId="23" borderId="10" xfId="0" applyFont="1" applyFill="1" applyBorder="1" applyAlignment="1" applyProtection="1">
      <alignment horizontal="left"/>
      <protection locked="0"/>
    </xf>
    <xf numFmtId="0" fontId="1" fillId="23" borderId="66" xfId="0" applyFont="1" applyFill="1" applyBorder="1" applyAlignment="1" applyProtection="1">
      <alignment horizontal="left"/>
      <protection locked="0"/>
    </xf>
    <xf numFmtId="0" fontId="0" fillId="23" borderId="71" xfId="0" applyFill="1" applyBorder="1" applyAlignment="1" applyProtection="1">
      <alignment horizontal="left"/>
      <protection locked="0"/>
    </xf>
    <xf numFmtId="0" fontId="0" fillId="23" borderId="18" xfId="0" applyFill="1" applyBorder="1" applyAlignment="1" applyProtection="1">
      <alignment horizontal="left"/>
      <protection locked="0"/>
    </xf>
    <xf numFmtId="0" fontId="0" fillId="23" borderId="19" xfId="0" applyFill="1" applyBorder="1" applyAlignment="1" applyProtection="1">
      <alignment horizontal="left"/>
      <protection locked="0"/>
    </xf>
    <xf numFmtId="0" fontId="2" fillId="0" borderId="27" xfId="0" applyFont="1" applyBorder="1" applyAlignment="1">
      <alignment horizontal="center"/>
    </xf>
    <xf numFmtId="0" fontId="2" fillId="0" borderId="28" xfId="0" applyFont="1" applyBorder="1" applyAlignment="1">
      <alignment horizontal="center"/>
    </xf>
    <xf numFmtId="0" fontId="2" fillId="0" borderId="17"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6" xfId="0" applyFont="1" applyBorder="1" applyAlignment="1">
      <alignment horizontal="center" vertical="center"/>
    </xf>
    <xf numFmtId="0" fontId="2" fillId="0" borderId="33" xfId="0" applyFont="1" applyBorder="1" applyAlignment="1">
      <alignment horizontal="center" vertical="center"/>
    </xf>
    <xf numFmtId="0" fontId="7" fillId="0" borderId="17" xfId="0" applyFont="1" applyBorder="1" applyAlignment="1">
      <alignment vertical="top" wrapText="1"/>
    </xf>
    <xf numFmtId="0" fontId="7" fillId="0" borderId="18" xfId="0" applyFont="1" applyBorder="1" applyAlignment="1">
      <alignment vertical="top" wrapText="1"/>
    </xf>
    <xf numFmtId="0" fontId="7" fillId="0" borderId="19" xfId="0" applyFont="1" applyBorder="1" applyAlignment="1">
      <alignment vertical="top" wrapText="1"/>
    </xf>
    <xf numFmtId="0" fontId="7" fillId="0" borderId="20" xfId="0" applyFont="1" applyBorder="1" applyAlignment="1">
      <alignment vertical="top" wrapText="1"/>
    </xf>
    <xf numFmtId="0" fontId="7" fillId="0" borderId="0" xfId="0" applyFont="1" applyAlignment="1">
      <alignment vertical="top" wrapText="1"/>
    </xf>
    <xf numFmtId="0" fontId="7" fillId="0" borderId="21" xfId="0" applyFont="1" applyBorder="1" applyAlignment="1">
      <alignment vertical="top" wrapText="1"/>
    </xf>
    <xf numFmtId="0" fontId="7" fillId="0" borderId="22" xfId="0" applyFont="1" applyBorder="1" applyAlignment="1">
      <alignment vertical="top" wrapText="1"/>
    </xf>
    <xf numFmtId="0" fontId="7" fillId="0" borderId="23" xfId="0" applyFont="1" applyBorder="1" applyAlignment="1">
      <alignment vertical="top" wrapText="1"/>
    </xf>
    <xf numFmtId="0" fontId="7" fillId="0" borderId="25" xfId="0" applyFont="1" applyBorder="1" applyAlignment="1">
      <alignment vertical="top" wrapText="1"/>
    </xf>
    <xf numFmtId="0" fontId="2" fillId="0" borderId="69" xfId="0" applyFont="1" applyBorder="1" applyAlignment="1">
      <alignment horizontal="center" vertical="center" wrapText="1"/>
    </xf>
    <xf numFmtId="0" fontId="2" fillId="0" borderId="46" xfId="0" applyFont="1" applyBorder="1" applyAlignment="1">
      <alignment horizontal="center" vertical="center" wrapText="1"/>
    </xf>
    <xf numFmtId="0" fontId="2" fillId="4" borderId="17" xfId="0" applyFont="1" applyFill="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7" fillId="0" borderId="23" xfId="0" applyFont="1" applyBorder="1" applyAlignment="1">
      <alignment horizontal="center"/>
    </xf>
    <xf numFmtId="0" fontId="19" fillId="13" borderId="17" xfId="2" applyFont="1" applyFill="1" applyBorder="1" applyAlignment="1" applyProtection="1">
      <alignment horizontal="center" vertical="center" wrapText="1"/>
    </xf>
    <xf numFmtId="0" fontId="2" fillId="0" borderId="26" xfId="0" applyFont="1" applyBorder="1" applyAlignment="1">
      <alignment horizontal="center" vertical="center" wrapText="1"/>
    </xf>
    <xf numFmtId="0" fontId="2" fillId="0" borderId="33" xfId="0" applyFont="1" applyBorder="1" applyAlignment="1">
      <alignment horizontal="center" vertical="center" wrapText="1"/>
    </xf>
    <xf numFmtId="0" fontId="30" fillId="8" borderId="56" xfId="0" applyFont="1" applyFill="1" applyBorder="1" applyAlignment="1">
      <alignment horizontal="right" vertical="top" wrapText="1"/>
    </xf>
    <xf numFmtId="0" fontId="30" fillId="8" borderId="57" xfId="0" applyFont="1" applyFill="1" applyBorder="1" applyAlignment="1">
      <alignment horizontal="right" vertical="top" wrapText="1"/>
    </xf>
    <xf numFmtId="0" fontId="30" fillId="8" borderId="58" xfId="0" applyFont="1" applyFill="1" applyBorder="1" applyAlignment="1">
      <alignment horizontal="right" vertical="top" wrapText="1"/>
    </xf>
    <xf numFmtId="0" fontId="31" fillId="8" borderId="56" xfId="0" applyFont="1" applyFill="1" applyBorder="1" applyAlignment="1">
      <alignment vertical="top" wrapText="1"/>
    </xf>
    <xf numFmtId="0" fontId="31" fillId="8" borderId="58" xfId="0" applyFont="1" applyFill="1" applyBorder="1" applyAlignment="1">
      <alignment vertical="top" wrapText="1"/>
    </xf>
    <xf numFmtId="0" fontId="33" fillId="10" borderId="56" xfId="0" applyFont="1" applyFill="1" applyBorder="1" applyAlignment="1">
      <alignment horizontal="center"/>
    </xf>
    <xf numFmtId="0" fontId="33" fillId="10" borderId="58" xfId="0" applyFont="1" applyFill="1" applyBorder="1" applyAlignment="1">
      <alignment horizontal="center"/>
    </xf>
    <xf numFmtId="0" fontId="34" fillId="9" borderId="59" xfId="0" applyFont="1" applyFill="1" applyBorder="1" applyAlignment="1">
      <alignment vertical="top" wrapText="1"/>
    </xf>
    <xf numFmtId="0" fontId="34" fillId="9" borderId="62" xfId="0" applyFont="1" applyFill="1" applyBorder="1" applyAlignment="1">
      <alignment vertical="top" wrapText="1"/>
    </xf>
    <xf numFmtId="0" fontId="34" fillId="9" borderId="63" xfId="0" applyFont="1" applyFill="1" applyBorder="1" applyAlignment="1">
      <alignment vertical="top" wrapText="1"/>
    </xf>
    <xf numFmtId="0" fontId="7" fillId="0" borderId="17" xfId="2" applyFont="1" applyFill="1" applyBorder="1" applyAlignment="1" applyProtection="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0" xfId="0" applyFont="1" applyAlignment="1">
      <alignment horizontal="left" vertical="top" wrapText="1"/>
    </xf>
    <xf numFmtId="0" fontId="7" fillId="0" borderId="21" xfId="0" applyFont="1" applyBorder="1" applyAlignment="1">
      <alignment horizontal="left" vertical="top" wrapText="1"/>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5" xfId="0" applyFont="1" applyBorder="1" applyAlignment="1">
      <alignment horizontal="left" vertical="top" wrapText="1"/>
    </xf>
    <xf numFmtId="0" fontId="13" fillId="3" borderId="9" xfId="0" applyFont="1" applyFill="1" applyBorder="1" applyAlignment="1">
      <alignment horizontal="left"/>
    </xf>
    <xf numFmtId="0" fontId="13" fillId="3" borderId="10" xfId="0" applyFont="1" applyFill="1" applyBorder="1" applyAlignment="1">
      <alignment horizontal="left"/>
    </xf>
    <xf numFmtId="0" fontId="0" fillId="0" borderId="12" xfId="0" applyBorder="1"/>
    <xf numFmtId="0" fontId="0" fillId="0" borderId="13" xfId="0" applyBorder="1"/>
    <xf numFmtId="0" fontId="0" fillId="0" borderId="14" xfId="0" applyBorder="1"/>
    <xf numFmtId="0" fontId="23" fillId="2" borderId="9" xfId="0" applyFont="1" applyFill="1" applyBorder="1" applyAlignment="1">
      <alignment horizontal="center"/>
    </xf>
    <xf numFmtId="0" fontId="23" fillId="2" borderId="10" xfId="0" applyFont="1" applyFill="1" applyBorder="1" applyAlignment="1">
      <alignment horizontal="center"/>
    </xf>
    <xf numFmtId="0" fontId="5" fillId="2" borderId="9" xfId="0" applyFont="1" applyFill="1" applyBorder="1" applyAlignment="1">
      <alignment horizontal="left"/>
    </xf>
    <xf numFmtId="0" fontId="5" fillId="2" borderId="10" xfId="0" applyFont="1" applyFill="1" applyBorder="1" applyAlignment="1">
      <alignment horizontal="left"/>
    </xf>
    <xf numFmtId="0" fontId="6" fillId="0" borderId="2" xfId="0" applyFont="1" applyBorder="1" applyAlignment="1">
      <alignment horizontal="left"/>
    </xf>
    <xf numFmtId="0" fontId="0" fillId="0" borderId="0" xfId="0"/>
    <xf numFmtId="0" fontId="5" fillId="4" borderId="9" xfId="0" applyFont="1" applyFill="1" applyBorder="1" applyAlignment="1">
      <alignment horizontal="left"/>
    </xf>
    <xf numFmtId="0" fontId="5" fillId="4" borderId="10" xfId="0" applyFont="1" applyFill="1" applyBorder="1" applyAlignment="1">
      <alignment horizontal="left"/>
    </xf>
    <xf numFmtId="0" fontId="20" fillId="0" borderId="17" xfId="0" applyFont="1" applyBorder="1" applyAlignment="1">
      <alignment horizontal="justify" vertical="top" wrapText="1"/>
    </xf>
    <xf numFmtId="0" fontId="7" fillId="0" borderId="18" xfId="0" applyFont="1" applyBorder="1" applyAlignment="1">
      <alignment horizontal="justify" vertical="top" wrapText="1"/>
    </xf>
    <xf numFmtId="0" fontId="7" fillId="0" borderId="19" xfId="0" applyFont="1" applyBorder="1" applyAlignment="1">
      <alignment horizontal="justify" vertical="top" wrapText="1"/>
    </xf>
    <xf numFmtId="0" fontId="7" fillId="0" borderId="22" xfId="0" applyFont="1" applyBorder="1" applyAlignment="1">
      <alignment horizontal="justify" vertical="top" wrapText="1"/>
    </xf>
    <xf numFmtId="0" fontId="7" fillId="0" borderId="23" xfId="0" applyFont="1" applyBorder="1" applyAlignment="1">
      <alignment horizontal="justify" vertical="top" wrapText="1"/>
    </xf>
    <xf numFmtId="0" fontId="7" fillId="0" borderId="25" xfId="0" applyFont="1" applyBorder="1" applyAlignment="1">
      <alignment horizontal="justify" vertical="top" wrapText="1"/>
    </xf>
    <xf numFmtId="3" fontId="5" fillId="3" borderId="9" xfId="0" applyNumberFormat="1" applyFont="1" applyFill="1" applyBorder="1" applyAlignment="1">
      <alignment horizontal="center"/>
    </xf>
    <xf numFmtId="3" fontId="5" fillId="3" borderId="10" xfId="0" applyNumberFormat="1" applyFont="1" applyFill="1" applyBorder="1" applyAlignment="1">
      <alignment horizontal="center"/>
    </xf>
    <xf numFmtId="3" fontId="5" fillId="3" borderId="11" xfId="0" applyNumberFormat="1" applyFont="1" applyFill="1" applyBorder="1" applyAlignment="1">
      <alignment horizontal="center"/>
    </xf>
    <xf numFmtId="0" fontId="6" fillId="3" borderId="9" xfId="0" applyFont="1" applyFill="1" applyBorder="1" applyAlignment="1">
      <alignment horizontal="left"/>
    </xf>
    <xf numFmtId="0" fontId="6" fillId="3" borderId="10" xfId="0" applyFont="1" applyFill="1" applyBorder="1" applyAlignment="1">
      <alignment horizontal="left"/>
    </xf>
    <xf numFmtId="0" fontId="6" fillId="3" borderId="11" xfId="0" applyFont="1" applyFill="1" applyBorder="1" applyAlignment="1">
      <alignment horizontal="left"/>
    </xf>
    <xf numFmtId="164" fontId="6" fillId="23" borderId="9" xfId="0" applyNumberFormat="1" applyFont="1" applyFill="1" applyBorder="1" applyAlignment="1" applyProtection="1">
      <alignment horizontal="center"/>
      <protection locked="0"/>
    </xf>
    <xf numFmtId="164" fontId="6" fillId="23" borderId="10" xfId="0" applyNumberFormat="1" applyFont="1" applyFill="1" applyBorder="1" applyAlignment="1" applyProtection="1">
      <alignment horizontal="center"/>
      <protection locked="0"/>
    </xf>
    <xf numFmtId="164" fontId="6" fillId="23" borderId="11" xfId="0" applyNumberFormat="1" applyFont="1" applyFill="1" applyBorder="1" applyAlignment="1" applyProtection="1">
      <alignment horizontal="center"/>
      <protection locked="0"/>
    </xf>
    <xf numFmtId="0" fontId="5" fillId="3" borderId="6" xfId="0" applyFont="1" applyFill="1" applyBorder="1" applyAlignment="1">
      <alignment horizontal="left"/>
    </xf>
    <xf numFmtId="0" fontId="5" fillId="3" borderId="7" xfId="0" applyFont="1" applyFill="1" applyBorder="1" applyAlignment="1">
      <alignment horizontal="left"/>
    </xf>
    <xf numFmtId="0" fontId="5" fillId="3" borderId="8" xfId="0" applyFont="1" applyFill="1" applyBorder="1" applyAlignment="1">
      <alignment horizontal="left"/>
    </xf>
    <xf numFmtId="164" fontId="5" fillId="0" borderId="9" xfId="0" applyNumberFormat="1" applyFont="1" applyBorder="1" applyAlignment="1">
      <alignment horizontal="center"/>
    </xf>
    <xf numFmtId="164" fontId="5" fillId="0" borderId="10" xfId="0" applyNumberFormat="1" applyFont="1" applyBorder="1" applyAlignment="1">
      <alignment horizontal="center"/>
    </xf>
    <xf numFmtId="164" fontId="5" fillId="0" borderId="11" xfId="0" applyNumberFormat="1" applyFont="1" applyBorder="1" applyAlignment="1">
      <alignment horizontal="center"/>
    </xf>
    <xf numFmtId="0" fontId="6" fillId="3" borderId="6" xfId="0" applyFont="1" applyFill="1" applyBorder="1" applyAlignment="1">
      <alignment horizontal="left"/>
    </xf>
    <xf numFmtId="0" fontId="6" fillId="3" borderId="7" xfId="0" applyFont="1" applyFill="1" applyBorder="1" applyAlignment="1">
      <alignment horizontal="left"/>
    </xf>
    <xf numFmtId="0" fontId="6" fillId="3" borderId="8" xfId="0" applyFont="1" applyFill="1" applyBorder="1" applyAlignment="1">
      <alignment horizontal="left"/>
    </xf>
    <xf numFmtId="164" fontId="6" fillId="0" borderId="9" xfId="0" applyNumberFormat="1" applyFont="1" applyBorder="1" applyAlignment="1">
      <alignment horizontal="center"/>
    </xf>
    <xf numFmtId="164" fontId="6" fillId="0" borderId="10" xfId="0" applyNumberFormat="1" applyFont="1" applyBorder="1" applyAlignment="1">
      <alignment horizontal="center"/>
    </xf>
    <xf numFmtId="164" fontId="6" fillId="0" borderId="11" xfId="0" applyNumberFormat="1" applyFont="1" applyBorder="1" applyAlignment="1">
      <alignment horizontal="center"/>
    </xf>
    <xf numFmtId="0" fontId="8" fillId="0" borderId="4" xfId="0" applyFont="1" applyBorder="1" applyAlignment="1">
      <alignment horizontal="left" wrapText="1"/>
    </xf>
    <xf numFmtId="0" fontId="2" fillId="0" borderId="0" xfId="0" applyFont="1" applyAlignment="1">
      <alignment horizontal="left" wrapText="1"/>
    </xf>
    <xf numFmtId="0" fontId="2" fillId="0" borderId="0" xfId="0" applyFont="1" applyAlignment="1">
      <alignment wrapText="1"/>
    </xf>
    <xf numFmtId="3" fontId="6" fillId="0" borderId="9" xfId="0" applyNumberFormat="1" applyFont="1" applyBorder="1" applyAlignment="1">
      <alignment horizontal="center"/>
    </xf>
    <xf numFmtId="3" fontId="6" fillId="0" borderId="10" xfId="0" applyNumberFormat="1" applyFont="1" applyBorder="1" applyAlignment="1">
      <alignment horizontal="center"/>
    </xf>
    <xf numFmtId="3" fontId="6" fillId="0" borderId="11" xfId="0" applyNumberFormat="1" applyFont="1" applyBorder="1" applyAlignment="1">
      <alignment horizontal="center"/>
    </xf>
    <xf numFmtId="0" fontId="6" fillId="0" borderId="9"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2" fontId="8" fillId="0" borderId="4" xfId="1" quotePrefix="1" applyNumberFormat="1" applyFont="1" applyFill="1" applyBorder="1" applyAlignment="1" applyProtection="1">
      <alignment horizontal="left"/>
    </xf>
    <xf numFmtId="0" fontId="8" fillId="0" borderId="0" xfId="0" applyFont="1" applyAlignment="1">
      <alignment horizontal="left"/>
    </xf>
    <xf numFmtId="164" fontId="6" fillId="20" borderId="9" xfId="0" applyNumberFormat="1" applyFont="1" applyFill="1" applyBorder="1" applyAlignment="1">
      <alignment horizontal="center"/>
    </xf>
    <xf numFmtId="164" fontId="6" fillId="20" borderId="10" xfId="0" applyNumberFormat="1" applyFont="1" applyFill="1" applyBorder="1" applyAlignment="1">
      <alignment horizontal="center"/>
    </xf>
    <xf numFmtId="164" fontId="6" fillId="20" borderId="11" xfId="0" applyNumberFormat="1" applyFont="1" applyFill="1" applyBorder="1" applyAlignment="1">
      <alignment horizontal="center"/>
    </xf>
    <xf numFmtId="0" fontId="6" fillId="3" borderId="4" xfId="0" applyFont="1" applyFill="1" applyBorder="1" applyAlignment="1">
      <alignment horizontal="left"/>
    </xf>
    <xf numFmtId="0" fontId="6" fillId="3" borderId="0" xfId="0" applyFont="1" applyFill="1" applyAlignment="1">
      <alignment horizontal="left"/>
    </xf>
    <xf numFmtId="0" fontId="6" fillId="3" borderId="5" xfId="0" applyFont="1" applyFill="1" applyBorder="1" applyAlignment="1">
      <alignment horizontal="left"/>
    </xf>
    <xf numFmtId="3" fontId="6" fillId="0" borderId="4" xfId="0" applyNumberFormat="1" applyFont="1" applyBorder="1" applyAlignment="1">
      <alignment horizontal="center"/>
    </xf>
    <xf numFmtId="3" fontId="6" fillId="0" borderId="0" xfId="0" applyNumberFormat="1" applyFont="1" applyAlignment="1">
      <alignment horizontal="center"/>
    </xf>
    <xf numFmtId="3" fontId="6" fillId="0" borderId="5" xfId="0" applyNumberFormat="1" applyFont="1" applyBorder="1" applyAlignment="1">
      <alignment horizontal="center"/>
    </xf>
    <xf numFmtId="0" fontId="5" fillId="3" borderId="9" xfId="0" applyFont="1" applyFill="1" applyBorder="1" applyAlignment="1">
      <alignment horizontal="left"/>
    </xf>
    <xf numFmtId="0" fontId="5" fillId="3" borderId="10" xfId="0" applyFont="1" applyFill="1" applyBorder="1" applyAlignment="1">
      <alignment horizontal="left"/>
    </xf>
    <xf numFmtId="0" fontId="5" fillId="3" borderId="11" xfId="0" applyFont="1" applyFill="1" applyBorder="1" applyAlignment="1">
      <alignment horizontal="left"/>
    </xf>
    <xf numFmtId="0" fontId="6" fillId="3" borderId="9" xfId="0" applyFont="1" applyFill="1" applyBorder="1" applyAlignment="1">
      <alignment horizontal="left" wrapText="1"/>
    </xf>
    <xf numFmtId="0" fontId="6" fillId="3" borderId="10" xfId="0" applyFont="1" applyFill="1" applyBorder="1" applyAlignment="1">
      <alignment horizontal="left" wrapText="1"/>
    </xf>
    <xf numFmtId="0" fontId="6" fillId="3" borderId="11" xfId="0" applyFont="1" applyFill="1" applyBorder="1" applyAlignment="1">
      <alignment horizontal="left" wrapText="1"/>
    </xf>
    <xf numFmtId="10" fontId="6" fillId="0" borderId="9" xfId="1" applyNumberFormat="1" applyFont="1" applyBorder="1" applyAlignment="1">
      <alignment horizontal="center"/>
    </xf>
    <xf numFmtId="10" fontId="6" fillId="0" borderId="10" xfId="1" applyNumberFormat="1" applyFont="1" applyBorder="1" applyAlignment="1">
      <alignment horizontal="center"/>
    </xf>
    <xf numFmtId="10" fontId="6" fillId="0" borderId="11" xfId="1" applyNumberFormat="1" applyFont="1" applyBorder="1" applyAlignment="1">
      <alignment horizontal="center"/>
    </xf>
    <xf numFmtId="164" fontId="2" fillId="0" borderId="9" xfId="1" applyNumberFormat="1" applyFont="1" applyBorder="1" applyAlignment="1" applyProtection="1">
      <alignment horizontal="center"/>
    </xf>
    <xf numFmtId="164" fontId="2" fillId="0" borderId="10" xfId="1" applyNumberFormat="1" applyFont="1" applyBorder="1" applyAlignment="1" applyProtection="1">
      <alignment horizontal="center"/>
    </xf>
    <xf numFmtId="164" fontId="2" fillId="0" borderId="11" xfId="1" applyNumberFormat="1" applyFont="1" applyBorder="1" applyAlignment="1" applyProtection="1">
      <alignment horizontal="center"/>
    </xf>
    <xf numFmtId="0" fontId="7" fillId="0" borderId="0" xfId="0" applyFont="1" applyAlignment="1">
      <alignment horizontal="left"/>
    </xf>
    <xf numFmtId="0" fontId="0" fillId="23" borderId="9" xfId="0" applyFill="1" applyBorder="1" applyAlignment="1" applyProtection="1">
      <alignment horizontal="left" wrapText="1"/>
      <protection locked="0"/>
    </xf>
    <xf numFmtId="0" fontId="0" fillId="23" borderId="10" xfId="0" applyFill="1" applyBorder="1" applyAlignment="1" applyProtection="1">
      <alignment horizontal="left" wrapText="1"/>
      <protection locked="0"/>
    </xf>
    <xf numFmtId="0" fontId="0" fillId="23" borderId="11" xfId="0" applyFill="1" applyBorder="1" applyAlignment="1" applyProtection="1">
      <alignment horizontal="left" wrapText="1"/>
      <protection locked="0"/>
    </xf>
    <xf numFmtId="0" fontId="6" fillId="23" borderId="9" xfId="0" applyFont="1" applyFill="1" applyBorder="1" applyAlignment="1" applyProtection="1">
      <alignment horizontal="center"/>
      <protection locked="0"/>
    </xf>
    <xf numFmtId="0" fontId="6" fillId="23" borderId="10" xfId="0" applyFont="1" applyFill="1" applyBorder="1" applyAlignment="1" applyProtection="1">
      <alignment horizontal="center"/>
      <protection locked="0"/>
    </xf>
    <xf numFmtId="0" fontId="6" fillId="23" borderId="11" xfId="0" applyFont="1" applyFill="1" applyBorder="1" applyAlignment="1" applyProtection="1">
      <alignment horizontal="center"/>
      <protection locked="0"/>
    </xf>
    <xf numFmtId="0" fontId="4" fillId="0" borderId="9" xfId="0" applyFont="1" applyBorder="1" applyAlignment="1">
      <alignment horizontal="left"/>
    </xf>
    <xf numFmtId="0" fontId="4" fillId="0" borderId="10" xfId="0" applyFont="1" applyBorder="1" applyAlignment="1">
      <alignment horizontal="left"/>
    </xf>
    <xf numFmtId="0" fontId="4" fillId="0" borderId="11" xfId="0" applyFont="1" applyBorder="1" applyAlignment="1">
      <alignment horizontal="left"/>
    </xf>
    <xf numFmtId="4" fontId="6" fillId="0" borderId="9" xfId="0" applyNumberFormat="1" applyFont="1" applyBorder="1" applyAlignment="1" applyProtection="1">
      <alignment horizontal="left" wrapText="1"/>
      <protection locked="0"/>
    </xf>
    <xf numFmtId="4" fontId="6" fillId="0" borderId="10" xfId="0" applyNumberFormat="1" applyFont="1" applyBorder="1" applyAlignment="1" applyProtection="1">
      <alignment horizontal="left" wrapText="1"/>
      <protection locked="0"/>
    </xf>
    <xf numFmtId="4" fontId="6" fillId="0" borderId="11" xfId="0" applyNumberFormat="1" applyFont="1" applyBorder="1" applyAlignment="1" applyProtection="1">
      <alignment horizontal="left" wrapText="1"/>
      <protection locked="0"/>
    </xf>
    <xf numFmtId="164" fontId="0" fillId="0" borderId="1" xfId="0" applyNumberFormat="1" applyBorder="1" applyAlignment="1">
      <alignment horizontal="center"/>
    </xf>
    <xf numFmtId="164" fontId="0" fillId="0" borderId="2" xfId="0" applyNumberFormat="1" applyBorder="1" applyAlignment="1">
      <alignment horizontal="center"/>
    </xf>
    <xf numFmtId="164" fontId="0" fillId="0" borderId="3" xfId="0" applyNumberFormat="1" applyBorder="1" applyAlignment="1">
      <alignment horizontal="center"/>
    </xf>
    <xf numFmtId="0" fontId="5" fillId="3" borderId="9" xfId="0" quotePrefix="1" applyFont="1" applyFill="1" applyBorder="1" applyAlignment="1">
      <alignment horizontal="left"/>
    </xf>
    <xf numFmtId="0" fontId="20" fillId="0" borderId="1" xfId="0" applyFont="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6" xfId="0" applyFont="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13" fillId="23" borderId="9" xfId="0" applyFont="1" applyFill="1" applyBorder="1" applyAlignment="1" applyProtection="1">
      <alignment horizontal="center"/>
      <protection locked="0"/>
    </xf>
    <xf numFmtId="0" fontId="13" fillId="23" borderId="11" xfId="0" applyFont="1" applyFill="1" applyBorder="1" applyAlignment="1" applyProtection="1">
      <alignment horizontal="center"/>
      <protection locked="0"/>
    </xf>
    <xf numFmtId="0" fontId="13" fillId="23" borderId="10" xfId="0" applyFont="1" applyFill="1" applyBorder="1" applyAlignment="1" applyProtection="1">
      <alignment horizontal="center"/>
      <protection locked="0"/>
    </xf>
    <xf numFmtId="0" fontId="0" fillId="23" borderId="11" xfId="0" applyFill="1" applyBorder="1" applyAlignment="1" applyProtection="1">
      <alignment horizontal="center"/>
      <protection locked="0"/>
    </xf>
    <xf numFmtId="164" fontId="0" fillId="23" borderId="6" xfId="0" applyNumberFormat="1" applyFill="1" applyBorder="1" applyAlignment="1" applyProtection="1">
      <alignment horizontal="center"/>
      <protection locked="0"/>
    </xf>
    <xf numFmtId="164" fontId="0" fillId="23" borderId="7" xfId="0" applyNumberFormat="1" applyFill="1" applyBorder="1" applyAlignment="1" applyProtection="1">
      <alignment horizontal="center"/>
      <protection locked="0"/>
    </xf>
    <xf numFmtId="164" fontId="0" fillId="23" borderId="8" xfId="0" applyNumberFormat="1" applyFill="1" applyBorder="1" applyAlignment="1" applyProtection="1">
      <alignment horizontal="center"/>
      <protection locked="0"/>
    </xf>
    <xf numFmtId="164" fontId="0" fillId="0" borderId="9" xfId="0" applyNumberFormat="1" applyBorder="1" applyAlignment="1">
      <alignment horizontal="center"/>
    </xf>
    <xf numFmtId="164" fontId="0" fillId="0" borderId="10" xfId="0" applyNumberFormat="1" applyBorder="1" applyAlignment="1">
      <alignment horizontal="center"/>
    </xf>
    <xf numFmtId="164" fontId="0" fillId="0" borderId="11" xfId="0" applyNumberFormat="1" applyBorder="1" applyAlignment="1">
      <alignment horizontal="center"/>
    </xf>
    <xf numFmtId="164" fontId="6" fillId="23" borderId="9" xfId="3" applyNumberFormat="1" applyFont="1" applyFill="1" applyBorder="1" applyAlignment="1" applyProtection="1">
      <alignment horizontal="center"/>
      <protection locked="0"/>
    </xf>
    <xf numFmtId="164" fontId="6" fillId="23" borderId="11" xfId="3" applyNumberFormat="1" applyFont="1" applyFill="1" applyBorder="1" applyAlignment="1" applyProtection="1">
      <alignment horizontal="center"/>
      <protection locked="0"/>
    </xf>
    <xf numFmtId="164" fontId="0" fillId="23" borderId="9" xfId="0" applyNumberFormat="1" applyFill="1" applyBorder="1" applyAlignment="1" applyProtection="1">
      <alignment horizontal="center"/>
      <protection locked="0"/>
    </xf>
    <xf numFmtId="164" fontId="0" fillId="23" borderId="10" xfId="0" applyNumberFormat="1" applyFill="1" applyBorder="1" applyAlignment="1" applyProtection="1">
      <alignment horizontal="center"/>
      <protection locked="0"/>
    </xf>
    <xf numFmtId="164" fontId="0" fillId="23" borderId="11" xfId="0" applyNumberFormat="1" applyFill="1" applyBorder="1" applyAlignment="1" applyProtection="1">
      <alignment horizontal="center"/>
      <protection locked="0"/>
    </xf>
    <xf numFmtId="3" fontId="6" fillId="23" borderId="9" xfId="0" applyNumberFormat="1" applyFont="1" applyFill="1" applyBorder="1" applyAlignment="1" applyProtection="1">
      <alignment horizontal="center"/>
      <protection locked="0"/>
    </xf>
    <xf numFmtId="0" fontId="0" fillId="23" borderId="9" xfId="0" applyFill="1" applyBorder="1" applyAlignment="1" applyProtection="1">
      <alignment horizontal="center"/>
      <protection locked="0"/>
    </xf>
    <xf numFmtId="0" fontId="0" fillId="23" borderId="10" xfId="0" applyFill="1" applyBorder="1" applyAlignment="1" applyProtection="1">
      <alignment horizontal="center"/>
      <protection locked="0"/>
    </xf>
    <xf numFmtId="10" fontId="0" fillId="0" borderId="9" xfId="1" applyNumberFormat="1" applyFont="1" applyBorder="1" applyAlignment="1">
      <alignment horizontal="center"/>
    </xf>
    <xf numFmtId="10" fontId="0" fillId="0" borderId="10" xfId="1" applyNumberFormat="1" applyFont="1" applyBorder="1" applyAlignment="1">
      <alignment horizontal="center"/>
    </xf>
    <xf numFmtId="10" fontId="0" fillId="0" borderId="11" xfId="1" applyNumberFormat="1"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15" fillId="0" borderId="9" xfId="0" applyFont="1" applyBorder="1" applyAlignment="1">
      <alignment horizontal="left"/>
    </xf>
    <xf numFmtId="0" fontId="15" fillId="0" borderId="10" xfId="0" applyFont="1" applyBorder="1" applyAlignment="1">
      <alignment horizontal="left"/>
    </xf>
    <xf numFmtId="0" fontId="15" fillId="0" borderId="11" xfId="0" applyFont="1" applyBorder="1" applyAlignment="1">
      <alignment horizontal="left"/>
    </xf>
    <xf numFmtId="4" fontId="6" fillId="0" borderId="9" xfId="0" applyNumberFormat="1" applyFont="1" applyBorder="1" applyAlignment="1" applyProtection="1">
      <alignment horizontal="left"/>
      <protection locked="0"/>
    </xf>
    <xf numFmtId="4" fontId="6" fillId="0" borderId="10" xfId="0" applyNumberFormat="1" applyFont="1" applyBorder="1" applyAlignment="1" applyProtection="1">
      <alignment horizontal="left"/>
      <protection locked="0"/>
    </xf>
    <xf numFmtId="4" fontId="6" fillId="0" borderId="11" xfId="0" applyNumberFormat="1" applyFont="1" applyBorder="1" applyAlignment="1" applyProtection="1">
      <alignment horizontal="left"/>
      <protection locked="0"/>
    </xf>
    <xf numFmtId="0" fontId="7" fillId="0" borderId="1" xfId="0" applyFont="1" applyBorder="1" applyAlignment="1">
      <alignment vertical="top" wrapText="1"/>
    </xf>
    <xf numFmtId="0" fontId="0" fillId="0" borderId="2" xfId="0" applyBorder="1" applyAlignment="1">
      <alignment vertical="top"/>
    </xf>
    <xf numFmtId="0" fontId="0" fillId="0" borderId="3"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8" xfId="0" applyBorder="1" applyAlignment="1">
      <alignment vertical="top"/>
    </xf>
    <xf numFmtId="0" fontId="6" fillId="0" borderId="0" xfId="0" applyFont="1"/>
    <xf numFmtId="0" fontId="3" fillId="0" borderId="4" xfId="0" applyFont="1" applyBorder="1" applyAlignment="1">
      <alignment horizontal="center"/>
    </xf>
    <xf numFmtId="0" fontId="3" fillId="0" borderId="0" xfId="0" applyFont="1" applyAlignment="1">
      <alignment horizontal="center"/>
    </xf>
    <xf numFmtId="0" fontId="13" fillId="3" borderId="11" xfId="0" applyFont="1" applyFill="1" applyBorder="1" applyAlignment="1">
      <alignment horizontal="left"/>
    </xf>
    <xf numFmtId="0" fontId="13" fillId="3" borderId="1" xfId="0" applyFont="1" applyFill="1" applyBorder="1" applyAlignment="1">
      <alignment horizontal="left"/>
    </xf>
    <xf numFmtId="0" fontId="13" fillId="3" borderId="2" xfId="0" applyFont="1" applyFill="1" applyBorder="1" applyAlignment="1">
      <alignment horizontal="left"/>
    </xf>
    <xf numFmtId="0" fontId="13" fillId="3" borderId="3" xfId="0" applyFont="1" applyFill="1" applyBorder="1" applyAlignment="1">
      <alignment horizontal="left"/>
    </xf>
    <xf numFmtId="0" fontId="0" fillId="0" borderId="1" xfId="0" applyBorder="1" applyAlignment="1" applyProtection="1">
      <alignment horizontal="left"/>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3" fillId="0" borderId="9" xfId="0" applyFont="1" applyBorder="1" applyAlignment="1" applyProtection="1">
      <alignment horizontal="left"/>
      <protection locked="0"/>
    </xf>
    <xf numFmtId="0" fontId="3" fillId="0" borderId="10" xfId="0" applyFont="1" applyBorder="1" applyAlignment="1" applyProtection="1">
      <alignment horizontal="left"/>
      <protection locked="0"/>
    </xf>
    <xf numFmtId="0" fontId="3" fillId="0" borderId="11" xfId="0" applyFont="1" applyBorder="1" applyAlignment="1" applyProtection="1">
      <alignment horizontal="left"/>
      <protection locked="0"/>
    </xf>
    <xf numFmtId="0" fontId="7" fillId="0" borderId="9"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0" fontId="5" fillId="0" borderId="0" xfId="0" applyFont="1" applyAlignment="1">
      <alignment vertical="top" wrapText="1"/>
    </xf>
    <xf numFmtId="0" fontId="0" fillId="0" borderId="0" xfId="0" applyAlignment="1">
      <alignment vertical="top" wrapText="1"/>
    </xf>
    <xf numFmtId="0" fontId="8" fillId="0" borderId="0" xfId="0" applyFont="1" applyAlignment="1">
      <alignment vertical="top" wrapText="1"/>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0" fillId="0" borderId="11" xfId="0" applyBorder="1" applyAlignment="1" applyProtection="1">
      <alignment horizontal="left"/>
      <protection locked="0"/>
    </xf>
    <xf numFmtId="0" fontId="8" fillId="0" borderId="20" xfId="0" applyFont="1" applyBorder="1"/>
    <xf numFmtId="0" fontId="2" fillId="0" borderId="0" xfId="0" applyFont="1"/>
    <xf numFmtId="0" fontId="2" fillId="0" borderId="17" xfId="0" applyFont="1" applyBorder="1" applyAlignment="1">
      <alignment horizontal="center" wrapText="1"/>
    </xf>
    <xf numFmtId="0" fontId="2" fillId="0" borderId="18" xfId="0" applyFont="1" applyBorder="1" applyAlignment="1">
      <alignment horizontal="center" wrapText="1"/>
    </xf>
    <xf numFmtId="0" fontId="2" fillId="0" borderId="19" xfId="0" applyFont="1" applyBorder="1" applyAlignment="1">
      <alignment horizontal="center" wrapText="1"/>
    </xf>
    <xf numFmtId="0" fontId="2" fillId="0" borderId="20" xfId="0" applyFont="1" applyBorder="1" applyAlignment="1">
      <alignment horizontal="center" wrapText="1"/>
    </xf>
    <xf numFmtId="0" fontId="2" fillId="0" borderId="0" xfId="0" applyFont="1" applyAlignment="1">
      <alignment horizontal="center" wrapText="1"/>
    </xf>
    <xf numFmtId="0" fontId="2" fillId="0" borderId="21" xfId="0" applyFont="1" applyBorder="1" applyAlignment="1">
      <alignment horizontal="center" wrapText="1"/>
    </xf>
    <xf numFmtId="0" fontId="2" fillId="0" borderId="34" xfId="0" applyFont="1" applyBorder="1" applyAlignment="1">
      <alignment horizontal="center" vertical="center" wrapText="1"/>
    </xf>
    <xf numFmtId="0" fontId="5" fillId="7" borderId="19"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7" fillId="0" borderId="0" xfId="0" applyFont="1" applyAlignment="1">
      <alignment horizontal="left" wrapText="1"/>
    </xf>
    <xf numFmtId="0" fontId="0" fillId="0" borderId="0" xfId="0" applyAlignment="1">
      <alignment wrapText="1"/>
    </xf>
    <xf numFmtId="0" fontId="0" fillId="23" borderId="29" xfId="0" applyFill="1" applyBorder="1" applyAlignment="1" applyProtection="1">
      <alignment horizontal="center" wrapText="1"/>
      <protection locked="0"/>
    </xf>
    <xf numFmtId="0" fontId="0" fillId="23" borderId="15" xfId="0" applyFill="1" applyBorder="1" applyAlignment="1" applyProtection="1">
      <alignment horizontal="center" wrapText="1"/>
      <protection locked="0"/>
    </xf>
    <xf numFmtId="0" fontId="0" fillId="23" borderId="27" xfId="0" applyFill="1" applyBorder="1" applyAlignment="1" applyProtection="1">
      <alignment horizontal="center" wrapText="1"/>
      <protection locked="0"/>
    </xf>
    <xf numFmtId="0" fontId="0" fillId="23" borderId="35" xfId="0" applyFill="1" applyBorder="1" applyAlignment="1" applyProtection="1">
      <alignment horizontal="center" wrapText="1"/>
      <protection locked="0"/>
    </xf>
    <xf numFmtId="0" fontId="2" fillId="0" borderId="0" xfId="0" applyFont="1" applyAlignment="1">
      <alignment horizontal="left"/>
    </xf>
    <xf numFmtId="0" fontId="0" fillId="23" borderId="38" xfId="0" applyFill="1" applyBorder="1" applyAlignment="1" applyProtection="1">
      <alignment horizontal="center" wrapText="1"/>
      <protection locked="0"/>
    </xf>
    <xf numFmtId="0" fontId="0" fillId="23" borderId="10" xfId="0" applyFill="1" applyBorder="1" applyAlignment="1" applyProtection="1">
      <alignment horizontal="center" wrapText="1"/>
      <protection locked="0"/>
    </xf>
    <xf numFmtId="0" fontId="0" fillId="23" borderId="11" xfId="0" applyFill="1" applyBorder="1" applyAlignment="1" applyProtection="1">
      <alignment horizontal="center" wrapText="1"/>
      <protection locked="0"/>
    </xf>
    <xf numFmtId="0" fontId="7" fillId="0" borderId="0" xfId="0" applyFont="1" applyAlignment="1">
      <alignment wrapText="1"/>
    </xf>
    <xf numFmtId="0" fontId="16" fillId="0" borderId="0" xfId="0" applyFont="1" applyAlignment="1">
      <alignment horizontal="left" wrapText="1"/>
    </xf>
    <xf numFmtId="0" fontId="0" fillId="23" borderId="31" xfId="0" applyFill="1" applyBorder="1" applyAlignment="1" applyProtection="1">
      <alignment horizontal="center" wrapText="1"/>
      <protection locked="0"/>
    </xf>
    <xf numFmtId="0" fontId="0" fillId="23" borderId="36" xfId="0" applyFill="1" applyBorder="1" applyAlignment="1" applyProtection="1">
      <alignment horizontal="center" wrapText="1"/>
      <protection locked="0"/>
    </xf>
    <xf numFmtId="0" fontId="0" fillId="0" borderId="0" xfId="0" applyAlignment="1">
      <alignment vertical="top"/>
    </xf>
    <xf numFmtId="0" fontId="0" fillId="0" borderId="22" xfId="0" applyBorder="1" applyAlignment="1">
      <alignment horizontal="center" wrapText="1"/>
    </xf>
    <xf numFmtId="0" fontId="0" fillId="0" borderId="23" xfId="0" applyBorder="1" applyAlignment="1">
      <alignment horizontal="center" wrapText="1"/>
    </xf>
    <xf numFmtId="0" fontId="0" fillId="0" borderId="25" xfId="0" applyBorder="1" applyAlignment="1">
      <alignment horizontal="center" wrapText="1"/>
    </xf>
    <xf numFmtId="0" fontId="5" fillId="4" borderId="11" xfId="0" applyFont="1" applyFill="1" applyBorder="1" applyAlignment="1">
      <alignment horizontal="left"/>
    </xf>
    <xf numFmtId="0" fontId="2" fillId="0" borderId="22" xfId="0" applyFont="1" applyBorder="1" applyAlignment="1">
      <alignment horizontal="center" wrapText="1"/>
    </xf>
    <xf numFmtId="0" fontId="2" fillId="0" borderId="23" xfId="0" applyFont="1" applyBorder="1" applyAlignment="1">
      <alignment horizontal="center" wrapText="1"/>
    </xf>
    <xf numFmtId="0" fontId="2" fillId="0" borderId="25" xfId="0" applyFont="1" applyBorder="1" applyAlignment="1">
      <alignment horizontal="center" wrapText="1"/>
    </xf>
    <xf numFmtId="0" fontId="5" fillId="13" borderId="17" xfId="0" applyFont="1" applyFill="1" applyBorder="1" applyAlignment="1">
      <alignment horizontal="center" vertical="center" wrapText="1"/>
    </xf>
    <xf numFmtId="0" fontId="5" fillId="13" borderId="22" xfId="0" applyFont="1" applyFill="1" applyBorder="1" applyAlignment="1">
      <alignment horizontal="center" vertical="center" wrapText="1"/>
    </xf>
    <xf numFmtId="0" fontId="2" fillId="0" borderId="37" xfId="0" applyFont="1" applyBorder="1" applyAlignment="1">
      <alignment horizontal="center" vertical="center"/>
    </xf>
    <xf numFmtId="0" fontId="2" fillId="0" borderId="35" xfId="0" applyFont="1" applyBorder="1" applyAlignment="1">
      <alignment horizontal="center" vertical="center"/>
    </xf>
    <xf numFmtId="0" fontId="0" fillId="0" borderId="35" xfId="0" applyBorder="1" applyAlignment="1">
      <alignment horizontal="center" vertical="center"/>
    </xf>
    <xf numFmtId="0" fontId="0" fillId="0" borderId="28" xfId="0" applyBorder="1" applyAlignment="1">
      <alignment horizontal="center" vertical="center"/>
    </xf>
    <xf numFmtId="0" fontId="2" fillId="0" borderId="24" xfId="0" applyFont="1" applyBorder="1" applyAlignment="1">
      <alignment horizontal="center" vertical="center"/>
    </xf>
    <xf numFmtId="0" fontId="2" fillId="0" borderId="36" xfId="0" applyFont="1" applyBorder="1" applyAlignment="1">
      <alignment horizontal="center" vertical="center"/>
    </xf>
    <xf numFmtId="0" fontId="0" fillId="0" borderId="36" xfId="0" applyBorder="1" applyAlignment="1">
      <alignment horizontal="center" vertical="center"/>
    </xf>
    <xf numFmtId="0" fontId="0" fillId="0" borderId="32" xfId="0" applyBorder="1" applyAlignment="1">
      <alignment horizontal="center" vertical="center"/>
    </xf>
    <xf numFmtId="0" fontId="54" fillId="0" borderId="8" xfId="0" applyFont="1" applyBorder="1" applyAlignment="1">
      <alignment wrapText="1"/>
    </xf>
    <xf numFmtId="0" fontId="54" fillId="0" borderId="43" xfId="0" applyFont="1" applyBorder="1" applyAlignment="1">
      <alignment wrapText="1"/>
    </xf>
    <xf numFmtId="0" fontId="54" fillId="0" borderId="50" xfId="0" applyFont="1" applyBorder="1" applyAlignment="1">
      <alignment wrapText="1"/>
    </xf>
    <xf numFmtId="0" fontId="9" fillId="0" borderId="26" xfId="2" applyBorder="1" applyAlignment="1">
      <alignment horizontal="center" vertical="center" wrapText="1"/>
    </xf>
    <xf numFmtId="0" fontId="9" fillId="0" borderId="33" xfId="2" applyBorder="1" applyAlignment="1">
      <alignment horizontal="center" vertical="center" wrapText="1"/>
    </xf>
    <xf numFmtId="0" fontId="0" fillId="0" borderId="12" xfId="0" applyBorder="1" applyAlignment="1">
      <alignment horizontal="center"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74" xfId="0" applyBorder="1"/>
    <xf numFmtId="0" fontId="0" fillId="0" borderId="51" xfId="0" applyBorder="1"/>
    <xf numFmtId="0" fontId="0" fillId="0" borderId="52" xfId="0" applyBorder="1"/>
    <xf numFmtId="0" fontId="8" fillId="0" borderId="4" xfId="0" applyFont="1" applyBorder="1" applyAlignment="1">
      <alignment vertical="top" wrapText="1"/>
    </xf>
    <xf numFmtId="0" fontId="0" fillId="23" borderId="17" xfId="0" applyFill="1" applyBorder="1" applyAlignment="1" applyProtection="1">
      <alignment horizontal="center" wrapText="1"/>
      <protection locked="0"/>
    </xf>
    <xf numFmtId="0" fontId="0" fillId="23" borderId="18" xfId="0" applyFill="1" applyBorder="1" applyAlignment="1" applyProtection="1">
      <alignment horizontal="center" wrapText="1"/>
      <protection locked="0"/>
    </xf>
    <xf numFmtId="0" fontId="0" fillId="23" borderId="72" xfId="0" applyFill="1" applyBorder="1" applyAlignment="1" applyProtection="1">
      <alignment horizontal="center" wrapText="1"/>
      <protection locked="0"/>
    </xf>
    <xf numFmtId="0" fontId="7" fillId="0" borderId="13" xfId="0" applyFont="1" applyBorder="1" applyAlignment="1">
      <alignment horizontal="center"/>
    </xf>
    <xf numFmtId="0" fontId="8" fillId="0" borderId="23" xfId="0" applyFont="1" applyBorder="1" applyAlignment="1">
      <alignment horizontal="left"/>
    </xf>
    <xf numFmtId="0" fontId="0" fillId="0" borderId="23" xfId="0" applyBorder="1"/>
    <xf numFmtId="0" fontId="0" fillId="0" borderId="15" xfId="0" applyBorder="1"/>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0" fillId="0" borderId="19" xfId="0" applyBorder="1"/>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0" fillId="0" borderId="25" xfId="0" applyBorder="1"/>
    <xf numFmtId="0" fontId="0" fillId="0" borderId="43" xfId="0" applyBorder="1"/>
    <xf numFmtId="164" fontId="6" fillId="23" borderId="9" xfId="0" applyNumberFormat="1" applyFont="1" applyFill="1" applyBorder="1" applyAlignment="1" applyProtection="1">
      <alignment horizontal="left" wrapText="1"/>
      <protection locked="0"/>
    </xf>
    <xf numFmtId="164" fontId="6" fillId="23" borderId="10" xfId="0" applyNumberFormat="1" applyFont="1" applyFill="1" applyBorder="1" applyAlignment="1" applyProtection="1">
      <alignment horizontal="left" wrapText="1"/>
      <protection locked="0"/>
    </xf>
    <xf numFmtId="164" fontId="6" fillId="23" borderId="11" xfId="0" applyNumberFormat="1" applyFont="1" applyFill="1" applyBorder="1" applyAlignment="1" applyProtection="1">
      <alignment horizontal="left" wrapText="1"/>
      <protection locked="0"/>
    </xf>
    <xf numFmtId="10" fontId="6" fillId="0" borderId="9" xfId="1" applyNumberFormat="1" applyFont="1" applyFill="1" applyBorder="1" applyAlignment="1" applyProtection="1">
      <alignment horizontal="center"/>
    </xf>
    <xf numFmtId="10" fontId="6" fillId="0" borderId="10" xfId="1" applyNumberFormat="1" applyFont="1" applyFill="1" applyBorder="1" applyAlignment="1" applyProtection="1">
      <alignment horizontal="center"/>
    </xf>
    <xf numFmtId="10" fontId="6" fillId="0" borderId="11" xfId="1" applyNumberFormat="1" applyFont="1" applyFill="1" applyBorder="1" applyAlignment="1" applyProtection="1">
      <alignment horizontal="center"/>
    </xf>
    <xf numFmtId="4" fontId="6" fillId="0" borderId="9" xfId="0" applyNumberFormat="1" applyFont="1" applyBorder="1" applyAlignment="1" applyProtection="1">
      <alignment vertical="top" wrapText="1"/>
      <protection locked="0"/>
    </xf>
    <xf numFmtId="4" fontId="6" fillId="0" borderId="10" xfId="0" applyNumberFormat="1" applyFont="1" applyBorder="1" applyAlignment="1" applyProtection="1">
      <alignment vertical="top" wrapText="1"/>
      <protection locked="0"/>
    </xf>
    <xf numFmtId="4" fontId="6" fillId="0" borderId="11" xfId="0" applyNumberFormat="1" applyFont="1" applyBorder="1" applyAlignment="1" applyProtection="1">
      <alignment vertical="top" wrapText="1"/>
      <protection locked="0"/>
    </xf>
    <xf numFmtId="0" fontId="0" fillId="23" borderId="41" xfId="0" applyFill="1" applyBorder="1" applyAlignment="1" applyProtection="1">
      <alignment horizontal="center" wrapText="1"/>
      <protection locked="0"/>
    </xf>
    <xf numFmtId="0" fontId="0" fillId="23" borderId="42" xfId="0" applyFill="1" applyBorder="1" applyAlignment="1" applyProtection="1">
      <alignment horizontal="center" wrapText="1"/>
      <protection locked="0"/>
    </xf>
    <xf numFmtId="0" fontId="0" fillId="23" borderId="37" xfId="0" applyFill="1" applyBorder="1" applyAlignment="1" applyProtection="1">
      <alignment horizontal="center" wrapText="1"/>
      <protection locked="0"/>
    </xf>
    <xf numFmtId="0" fontId="5" fillId="0" borderId="26" xfId="0" applyFont="1" applyBorder="1" applyAlignment="1">
      <alignment horizontal="center" vertical="center" wrapText="1"/>
    </xf>
    <xf numFmtId="0" fontId="5" fillId="0" borderId="33" xfId="0" applyFont="1" applyBorder="1" applyAlignment="1">
      <alignment horizontal="center" vertical="center" wrapText="1"/>
    </xf>
    <xf numFmtId="0" fontId="0" fillId="23" borderId="83" xfId="0" applyFill="1" applyBorder="1" applyAlignment="1" applyProtection="1">
      <alignment horizontal="center" wrapText="1"/>
      <protection locked="0"/>
    </xf>
    <xf numFmtId="0" fontId="0" fillId="23" borderId="2" xfId="0" applyFill="1" applyBorder="1" applyAlignment="1" applyProtection="1">
      <alignment horizontal="center" wrapText="1"/>
      <protection locked="0"/>
    </xf>
    <xf numFmtId="0" fontId="0" fillId="23" borderId="3" xfId="0" applyFill="1" applyBorder="1" applyAlignment="1" applyProtection="1">
      <alignment horizontal="center" wrapText="1"/>
      <protection locked="0"/>
    </xf>
    <xf numFmtId="0" fontId="0" fillId="0" borderId="68" xfId="0" applyBorder="1"/>
    <xf numFmtId="0" fontId="0" fillId="0" borderId="50" xfId="0" applyBorder="1"/>
    <xf numFmtId="0" fontId="0" fillId="23" borderId="4" xfId="0" applyFill="1" applyBorder="1" applyAlignment="1" applyProtection="1">
      <alignment horizontal="center"/>
      <protection locked="0"/>
    </xf>
    <xf numFmtId="0" fontId="0" fillId="23" borderId="0" xfId="0" applyFill="1" applyAlignment="1" applyProtection="1">
      <alignment horizontal="center"/>
      <protection locked="0"/>
    </xf>
    <xf numFmtId="0" fontId="0" fillId="23" borderId="5" xfId="0" applyFill="1" applyBorder="1" applyAlignment="1" applyProtection="1">
      <alignment horizontal="center"/>
      <protection locked="0"/>
    </xf>
    <xf numFmtId="164" fontId="0" fillId="23" borderId="4" xfId="0" applyNumberFormat="1" applyFill="1" applyBorder="1" applyAlignment="1" applyProtection="1">
      <alignment horizontal="center"/>
      <protection locked="0"/>
    </xf>
    <xf numFmtId="164" fontId="0" fillId="23" borderId="5" xfId="0" applyNumberFormat="1" applyFill="1" applyBorder="1" applyAlignment="1" applyProtection="1">
      <alignment horizontal="center"/>
      <protection locked="0"/>
    </xf>
    <xf numFmtId="0" fontId="0" fillId="23" borderId="6" xfId="0" applyFill="1" applyBorder="1" applyAlignment="1" applyProtection="1">
      <alignment horizontal="center"/>
      <protection locked="0"/>
    </xf>
    <xf numFmtId="0" fontId="0" fillId="23" borderId="7" xfId="0" applyFill="1" applyBorder="1" applyAlignment="1" applyProtection="1">
      <alignment horizontal="center"/>
      <protection locked="0"/>
    </xf>
    <xf numFmtId="0" fontId="0" fillId="23" borderId="8" xfId="0" applyFill="1" applyBorder="1" applyAlignment="1" applyProtection="1">
      <alignment horizontal="center"/>
      <protection locked="0"/>
    </xf>
    <xf numFmtId="0" fontId="13" fillId="0" borderId="12" xfId="0" applyFont="1" applyBorder="1" applyAlignment="1">
      <alignment horizontal="center"/>
    </xf>
    <xf numFmtId="0" fontId="0" fillId="0" borderId="14" xfId="0" applyBorder="1" applyAlignment="1">
      <alignment horizontal="center"/>
    </xf>
    <xf numFmtId="0" fontId="13" fillId="3" borderId="1" xfId="0" applyFont="1" applyFill="1" applyBorder="1" applyAlignment="1">
      <alignment horizontal="center"/>
    </xf>
    <xf numFmtId="0" fontId="13" fillId="3" borderId="2" xfId="0" applyFont="1" applyFill="1" applyBorder="1" applyAlignment="1">
      <alignment horizontal="center"/>
    </xf>
    <xf numFmtId="0" fontId="13" fillId="3" borderId="3" xfId="0" applyFont="1" applyFill="1" applyBorder="1" applyAlignment="1">
      <alignment horizontal="center"/>
    </xf>
    <xf numFmtId="0" fontId="3" fillId="3" borderId="6" xfId="0" applyFont="1" applyFill="1" applyBorder="1" applyAlignment="1">
      <alignment horizontal="center"/>
    </xf>
    <xf numFmtId="0" fontId="3" fillId="3" borderId="7" xfId="0" applyFont="1" applyFill="1" applyBorder="1" applyAlignment="1">
      <alignment horizontal="center"/>
    </xf>
    <xf numFmtId="0" fontId="3" fillId="3" borderId="8" xfId="0" applyFont="1" applyFill="1" applyBorder="1" applyAlignment="1">
      <alignment horizontal="center"/>
    </xf>
    <xf numFmtId="9" fontId="0" fillId="17" borderId="4" xfId="1" applyFont="1" applyFill="1" applyBorder="1" applyAlignment="1" applyProtection="1">
      <alignment horizontal="center"/>
    </xf>
    <xf numFmtId="9" fontId="0" fillId="17" borderId="5" xfId="1" applyFont="1" applyFill="1" applyBorder="1" applyAlignment="1" applyProtection="1">
      <alignment horizontal="center"/>
    </xf>
    <xf numFmtId="9" fontId="0" fillId="17" borderId="6" xfId="1" applyFont="1" applyFill="1" applyBorder="1" applyAlignment="1" applyProtection="1">
      <alignment horizontal="center"/>
    </xf>
    <xf numFmtId="9" fontId="0" fillId="17" borderId="8" xfId="1" applyFont="1" applyFill="1" applyBorder="1" applyAlignment="1" applyProtection="1">
      <alignment horizontal="center"/>
    </xf>
    <xf numFmtId="0" fontId="13" fillId="16" borderId="1" xfId="0" applyFont="1" applyFill="1" applyBorder="1" applyAlignment="1">
      <alignment horizontal="left"/>
    </xf>
    <xf numFmtId="0" fontId="13" fillId="16" borderId="2" xfId="0" applyFont="1" applyFill="1" applyBorder="1" applyAlignment="1">
      <alignment horizontal="left"/>
    </xf>
    <xf numFmtId="0" fontId="13" fillId="16" borderId="3" xfId="0" applyFont="1" applyFill="1" applyBorder="1" applyAlignment="1">
      <alignment horizontal="left"/>
    </xf>
    <xf numFmtId="0" fontId="3" fillId="23" borderId="9" xfId="0" applyFont="1" applyFill="1" applyBorder="1" applyAlignment="1" applyProtection="1">
      <alignment horizontal="left"/>
      <protection locked="0"/>
    </xf>
    <xf numFmtId="0" fontId="3" fillId="23" borderId="10" xfId="0" applyFont="1" applyFill="1" applyBorder="1" applyAlignment="1" applyProtection="1">
      <alignment horizontal="left"/>
      <protection locked="0"/>
    </xf>
    <xf numFmtId="0" fontId="3" fillId="23" borderId="11" xfId="0" applyFont="1" applyFill="1" applyBorder="1" applyAlignment="1" applyProtection="1">
      <alignment horizontal="left"/>
      <protection locked="0"/>
    </xf>
    <xf numFmtId="0" fontId="6" fillId="3" borderId="9" xfId="0" applyFont="1" applyFill="1" applyBorder="1" applyAlignment="1">
      <alignment horizontal="center"/>
    </xf>
    <xf numFmtId="0" fontId="6" fillId="3" borderId="10" xfId="0" applyFont="1" applyFill="1" applyBorder="1" applyAlignment="1">
      <alignment horizontal="center"/>
    </xf>
    <xf numFmtId="0" fontId="6" fillId="3" borderId="11" xfId="0" applyFont="1" applyFill="1" applyBorder="1" applyAlignment="1">
      <alignment horizontal="center"/>
    </xf>
    <xf numFmtId="0" fontId="13" fillId="0" borderId="2" xfId="0" applyFont="1" applyBorder="1"/>
    <xf numFmtId="0" fontId="24" fillId="0" borderId="17" xfId="0" applyFont="1" applyBorder="1" applyAlignment="1">
      <alignment horizontal="left" vertical="top" wrapText="1"/>
    </xf>
    <xf numFmtId="0" fontId="7" fillId="0" borderId="18" xfId="0" applyFont="1" applyBorder="1" applyAlignment="1">
      <alignment horizontal="left" vertical="top"/>
    </xf>
    <xf numFmtId="0" fontId="7" fillId="0" borderId="19" xfId="0" applyFont="1" applyBorder="1" applyAlignment="1">
      <alignment horizontal="left" vertical="top"/>
    </xf>
    <xf numFmtId="0" fontId="7" fillId="0" borderId="20" xfId="0" applyFont="1" applyBorder="1" applyAlignment="1">
      <alignment horizontal="left" vertical="top"/>
    </xf>
    <xf numFmtId="0" fontId="7" fillId="0" borderId="0" xfId="0" applyFont="1" applyAlignment="1">
      <alignment horizontal="left" vertical="top"/>
    </xf>
    <xf numFmtId="0" fontId="7" fillId="0" borderId="21" xfId="0" applyFont="1" applyBorder="1" applyAlignment="1">
      <alignment horizontal="left" vertical="top"/>
    </xf>
    <xf numFmtId="0" fontId="7" fillId="0" borderId="22" xfId="0" applyFont="1" applyBorder="1" applyAlignment="1">
      <alignment horizontal="left" vertical="top"/>
    </xf>
    <xf numFmtId="0" fontId="7" fillId="0" borderId="23" xfId="0" applyFont="1" applyBorder="1" applyAlignment="1">
      <alignment horizontal="left" vertical="top"/>
    </xf>
    <xf numFmtId="0" fontId="7" fillId="0" borderId="25" xfId="0" applyFont="1" applyBorder="1" applyAlignment="1">
      <alignment horizontal="left" vertical="top"/>
    </xf>
    <xf numFmtId="0" fontId="0" fillId="0" borderId="7" xfId="0" applyBorder="1"/>
    <xf numFmtId="0" fontId="24" fillId="0" borderId="17" xfId="0" applyFont="1" applyBorder="1" applyAlignment="1">
      <alignment vertical="top" wrapText="1"/>
    </xf>
    <xf numFmtId="0" fontId="24" fillId="0" borderId="20" xfId="0" applyFont="1" applyBorder="1" applyAlignment="1">
      <alignment vertical="top" wrapText="1"/>
    </xf>
    <xf numFmtId="0" fontId="13" fillId="4" borderId="12" xfId="0" applyFont="1" applyFill="1" applyBorder="1" applyAlignment="1">
      <alignment horizontal="left"/>
    </xf>
    <xf numFmtId="0" fontId="13" fillId="4" borderId="13" xfId="0" applyFont="1" applyFill="1" applyBorder="1" applyAlignment="1">
      <alignment horizontal="left"/>
    </xf>
    <xf numFmtId="0" fontId="13" fillId="4" borderId="14" xfId="0" applyFont="1" applyFill="1" applyBorder="1" applyAlignment="1">
      <alignment horizontal="left"/>
    </xf>
    <xf numFmtId="0" fontId="6" fillId="3" borderId="1" xfId="0" applyFont="1" applyFill="1" applyBorder="1" applyAlignment="1">
      <alignment horizontal="center" vertical="top" wrapText="1"/>
    </xf>
    <xf numFmtId="0" fontId="6" fillId="3" borderId="3" xfId="0" applyFont="1" applyFill="1" applyBorder="1" applyAlignment="1">
      <alignment horizontal="center" vertical="top"/>
    </xf>
    <xf numFmtId="0" fontId="6" fillId="3" borderId="4" xfId="0" applyFont="1" applyFill="1" applyBorder="1" applyAlignment="1">
      <alignment horizontal="center" vertical="top"/>
    </xf>
    <xf numFmtId="0" fontId="6" fillId="3" borderId="5" xfId="0" applyFont="1" applyFill="1" applyBorder="1" applyAlignment="1">
      <alignment horizontal="center" vertical="top"/>
    </xf>
    <xf numFmtId="0" fontId="6" fillId="3" borderId="6" xfId="0" applyFont="1" applyFill="1" applyBorder="1" applyAlignment="1">
      <alignment horizontal="center" vertical="top"/>
    </xf>
    <xf numFmtId="0" fontId="6" fillId="3" borderId="8" xfId="0" applyFont="1" applyFill="1" applyBorder="1" applyAlignment="1">
      <alignment horizontal="center" vertical="top"/>
    </xf>
    <xf numFmtId="0" fontId="0" fillId="23" borderId="12" xfId="0" applyFill="1" applyBorder="1" applyAlignment="1" applyProtection="1">
      <alignment horizontal="center"/>
      <protection locked="0"/>
    </xf>
    <xf numFmtId="0" fontId="0" fillId="23" borderId="14" xfId="0" applyFill="1" applyBorder="1" applyAlignment="1" applyProtection="1">
      <alignment horizontal="center"/>
      <protection locked="0"/>
    </xf>
    <xf numFmtId="0" fontId="0" fillId="0" borderId="12" xfId="0" applyBorder="1" applyAlignment="1">
      <alignment horizontal="center"/>
    </xf>
    <xf numFmtId="4" fontId="61" fillId="0" borderId="9" xfId="0" applyNumberFormat="1" applyFont="1" applyBorder="1" applyAlignment="1">
      <alignment horizontal="left"/>
    </xf>
    <xf numFmtId="4" fontId="61" fillId="0" borderId="10" xfId="0" applyNumberFormat="1" applyFont="1" applyBorder="1" applyAlignment="1">
      <alignment horizontal="left"/>
    </xf>
    <xf numFmtId="4" fontId="61" fillId="0" borderId="11" xfId="0" applyNumberFormat="1" applyFont="1" applyBorder="1" applyAlignment="1">
      <alignment horizontal="left"/>
    </xf>
    <xf numFmtId="0" fontId="13" fillId="4" borderId="10" xfId="0" applyFont="1" applyFill="1" applyBorder="1" applyAlignment="1">
      <alignment horizontal="left"/>
    </xf>
    <xf numFmtId="0" fontId="13" fillId="4" borderId="11" xfId="0" applyFont="1" applyFill="1" applyBorder="1" applyAlignment="1">
      <alignment horizontal="left"/>
    </xf>
    <xf numFmtId="0" fontId="8" fillId="0" borderId="17" xfId="0" applyFont="1" applyBorder="1" applyAlignment="1">
      <alignment vertical="top" wrapText="1"/>
    </xf>
    <xf numFmtId="0" fontId="8" fillId="0" borderId="18" xfId="0" applyFont="1" applyBorder="1" applyAlignment="1">
      <alignment vertical="top" wrapText="1"/>
    </xf>
    <xf numFmtId="0" fontId="8" fillId="0" borderId="19" xfId="0" applyFont="1" applyBorder="1" applyAlignment="1">
      <alignment vertical="top" wrapText="1"/>
    </xf>
    <xf numFmtId="0" fontId="8" fillId="0" borderId="20" xfId="0" applyFont="1" applyBorder="1" applyAlignment="1">
      <alignment vertical="top" wrapText="1"/>
    </xf>
    <xf numFmtId="0" fontId="8" fillId="0" borderId="21" xfId="0" applyFont="1" applyBorder="1" applyAlignment="1">
      <alignment vertical="top" wrapText="1"/>
    </xf>
    <xf numFmtId="0" fontId="8" fillId="0" borderId="22" xfId="0" applyFont="1" applyBorder="1" applyAlignment="1">
      <alignment vertical="top" wrapText="1"/>
    </xf>
    <xf numFmtId="0" fontId="8" fillId="0" borderId="23" xfId="0" applyFont="1" applyBorder="1" applyAlignment="1">
      <alignment vertical="top" wrapText="1"/>
    </xf>
    <xf numFmtId="0" fontId="8" fillId="0" borderId="25" xfId="0" applyFont="1" applyBorder="1" applyAlignment="1">
      <alignment vertical="top" wrapText="1"/>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3" fillId="0" borderId="9" xfId="0" applyFont="1" applyBorder="1" applyAlignment="1">
      <alignment horizontal="left"/>
    </xf>
    <xf numFmtId="0" fontId="3" fillId="0" borderId="10" xfId="0" applyFont="1" applyBorder="1" applyAlignment="1">
      <alignment horizontal="left"/>
    </xf>
    <xf numFmtId="0" fontId="3" fillId="0" borderId="11" xfId="0" applyFont="1" applyBorder="1" applyAlignment="1">
      <alignment horizontal="left"/>
    </xf>
    <xf numFmtId="4" fontId="6" fillId="0" borderId="9" xfId="0" applyNumberFormat="1" applyFont="1" applyBorder="1" applyAlignment="1">
      <alignment horizontal="left"/>
    </xf>
    <xf numFmtId="4" fontId="6" fillId="0" borderId="10" xfId="0" applyNumberFormat="1" applyFont="1" applyBorder="1" applyAlignment="1">
      <alignment horizontal="left"/>
    </xf>
    <xf numFmtId="4" fontId="6" fillId="0" borderId="11" xfId="0" applyNumberFormat="1" applyFont="1" applyBorder="1" applyAlignment="1">
      <alignment horizontal="left"/>
    </xf>
    <xf numFmtId="0" fontId="13" fillId="23" borderId="9" xfId="0" applyFont="1" applyFill="1" applyBorder="1" applyAlignment="1" applyProtection="1">
      <alignment horizontal="left"/>
      <protection locked="0"/>
    </xf>
    <xf numFmtId="0" fontId="13" fillId="23" borderId="10" xfId="0" applyFont="1" applyFill="1" applyBorder="1" applyAlignment="1" applyProtection="1">
      <alignment horizontal="left"/>
      <protection locked="0"/>
    </xf>
    <xf numFmtId="0" fontId="13" fillId="23" borderId="11" xfId="0" applyFont="1" applyFill="1" applyBorder="1" applyAlignment="1" applyProtection="1">
      <alignment horizontal="left"/>
      <protection locked="0"/>
    </xf>
    <xf numFmtId="0" fontId="0" fillId="23" borderId="39" xfId="0" applyFill="1" applyBorder="1" applyAlignment="1" applyProtection="1">
      <alignment horizontal="center" wrapText="1"/>
      <protection locked="0"/>
    </xf>
    <xf numFmtId="0" fontId="0" fillId="23" borderId="40" xfId="0" applyFill="1" applyBorder="1" applyAlignment="1" applyProtection="1">
      <alignment horizontal="center" wrapText="1"/>
      <protection locked="0"/>
    </xf>
    <xf numFmtId="0" fontId="0" fillId="23" borderId="24" xfId="0" applyFill="1" applyBorder="1" applyAlignment="1" applyProtection="1">
      <alignment horizontal="center" wrapText="1"/>
      <protection locked="0"/>
    </xf>
    <xf numFmtId="3" fontId="0" fillId="0" borderId="15" xfId="0" applyNumberFormat="1" applyBorder="1" applyAlignment="1">
      <alignment horizontal="center"/>
    </xf>
    <xf numFmtId="0" fontId="0" fillId="0" borderId="15" xfId="0" applyBorder="1" applyAlignment="1">
      <alignment horizontal="center"/>
    </xf>
    <xf numFmtId="4" fontId="2" fillId="0" borderId="44" xfId="0" applyNumberFormat="1" applyFont="1" applyBorder="1" applyAlignment="1">
      <alignment horizontal="center"/>
    </xf>
    <xf numFmtId="4" fontId="2" fillId="0" borderId="45" xfId="0" applyNumberFormat="1" applyFont="1" applyBorder="1" applyAlignment="1">
      <alignment horizontal="center"/>
    </xf>
    <xf numFmtId="164" fontId="2" fillId="0" borderId="1" xfId="0" applyNumberFormat="1" applyFont="1" applyBorder="1" applyAlignment="1">
      <alignment horizontal="center"/>
    </xf>
    <xf numFmtId="164" fontId="2" fillId="0" borderId="2" xfId="0" applyNumberFormat="1" applyFont="1" applyBorder="1" applyAlignment="1">
      <alignment horizontal="center"/>
    </xf>
    <xf numFmtId="164" fontId="2" fillId="0" borderId="3" xfId="0" applyNumberFormat="1" applyFont="1" applyBorder="1" applyAlignment="1">
      <alignment horizontal="center"/>
    </xf>
    <xf numFmtId="3" fontId="0" fillId="0" borderId="9" xfId="0" applyNumberFormat="1" applyBorder="1" applyAlignment="1">
      <alignment horizontal="center"/>
    </xf>
    <xf numFmtId="3" fontId="0" fillId="0" borderId="0" xfId="0" applyNumberFormat="1" applyAlignment="1">
      <alignment horizontal="center"/>
    </xf>
    <xf numFmtId="0" fontId="0" fillId="0" borderId="0" xfId="0" applyAlignment="1">
      <alignment horizontal="center"/>
    </xf>
    <xf numFmtId="10" fontId="0" fillId="0" borderId="9" xfId="1" applyNumberFormat="1" applyFont="1" applyBorder="1" applyAlignment="1" applyProtection="1">
      <alignment horizontal="center"/>
    </xf>
    <xf numFmtId="10" fontId="0" fillId="0" borderId="11" xfId="1" applyNumberFormat="1" applyFont="1" applyBorder="1" applyAlignment="1" applyProtection="1">
      <alignment horizontal="center"/>
    </xf>
    <xf numFmtId="10" fontId="0" fillId="0" borderId="15" xfId="1" applyNumberFormat="1" applyFont="1" applyBorder="1" applyAlignment="1" applyProtection="1">
      <alignment horizontal="center"/>
    </xf>
    <xf numFmtId="10" fontId="0" fillId="0" borderId="15" xfId="0" applyNumberFormat="1" applyBorder="1" applyAlignment="1">
      <alignment horizontal="center"/>
    </xf>
    <xf numFmtId="0" fontId="0" fillId="2" borderId="17" xfId="0" applyFill="1" applyBorder="1" applyAlignment="1">
      <alignment horizontal="center"/>
    </xf>
    <xf numFmtId="0" fontId="0" fillId="2" borderId="19" xfId="0" applyFill="1" applyBorder="1" applyAlignment="1">
      <alignment horizontal="center"/>
    </xf>
    <xf numFmtId="0" fontId="0" fillId="0" borderId="33" xfId="0" applyBorder="1" applyAlignment="1">
      <alignment horizontal="center" vertical="center" wrapText="1"/>
    </xf>
    <xf numFmtId="164" fontId="0" fillId="23" borderId="1" xfId="0" applyNumberFormat="1" applyFill="1" applyBorder="1" applyAlignment="1" applyProtection="1">
      <alignment horizontal="center"/>
      <protection locked="0"/>
    </xf>
    <xf numFmtId="164" fontId="0" fillId="23" borderId="2" xfId="0" applyNumberFormat="1" applyFill="1" applyBorder="1" applyAlignment="1" applyProtection="1">
      <alignment horizontal="center"/>
      <protection locked="0"/>
    </xf>
    <xf numFmtId="164" fontId="0" fillId="23" borderId="3" xfId="0" applyNumberFormat="1" applyFill="1" applyBorder="1" applyAlignment="1" applyProtection="1">
      <alignment horizontal="center"/>
      <protection locked="0"/>
    </xf>
    <xf numFmtId="4" fontId="4" fillId="0" borderId="9" xfId="0" applyNumberFormat="1" applyFont="1" applyBorder="1" applyAlignment="1">
      <alignment horizontal="left"/>
    </xf>
    <xf numFmtId="4" fontId="4" fillId="0" borderId="10" xfId="0" applyNumberFormat="1" applyFont="1" applyBorder="1" applyAlignment="1">
      <alignment horizontal="left"/>
    </xf>
    <xf numFmtId="4" fontId="4" fillId="0" borderId="11" xfId="0" applyNumberFormat="1" applyFont="1" applyBorder="1" applyAlignment="1">
      <alignment horizontal="left"/>
    </xf>
    <xf numFmtId="10" fontId="6" fillId="0" borderId="0" xfId="0" applyNumberFormat="1" applyFont="1" applyAlignment="1">
      <alignment horizontal="center"/>
    </xf>
    <xf numFmtId="4" fontId="6" fillId="0" borderId="0" xfId="0" applyNumberFormat="1" applyFont="1" applyAlignment="1">
      <alignment horizontal="center"/>
    </xf>
    <xf numFmtId="0" fontId="6" fillId="0" borderId="0" xfId="0" applyFont="1" applyAlignment="1">
      <alignment horizontal="center"/>
    </xf>
    <xf numFmtId="10" fontId="41" fillId="0" borderId="0" xfId="0" applyNumberFormat="1" applyFont="1" applyAlignment="1" applyProtection="1">
      <alignment horizontal="center"/>
      <protection locked="0"/>
    </xf>
    <xf numFmtId="0" fontId="41" fillId="0" borderId="0" xfId="0" applyFont="1" applyAlignment="1" applyProtection="1">
      <alignment horizontal="center"/>
      <protection locked="0"/>
    </xf>
    <xf numFmtId="2" fontId="0" fillId="0" borderId="9" xfId="0" applyNumberFormat="1" applyBorder="1" applyAlignment="1">
      <alignment horizontal="center"/>
    </xf>
    <xf numFmtId="2" fontId="0" fillId="0" borderId="11" xfId="0" applyNumberFormat="1" applyBorder="1" applyAlignment="1">
      <alignment horizontal="center"/>
    </xf>
    <xf numFmtId="2" fontId="2" fillId="0" borderId="9" xfId="0" applyNumberFormat="1" applyFont="1" applyBorder="1" applyAlignment="1">
      <alignment horizontal="center"/>
    </xf>
    <xf numFmtId="2" fontId="2" fillId="0" borderId="11" xfId="0" applyNumberFormat="1" applyFont="1" applyBorder="1" applyAlignment="1">
      <alignment horizontal="center"/>
    </xf>
    <xf numFmtId="4" fontId="2" fillId="0" borderId="12" xfId="0" applyNumberFormat="1" applyFont="1" applyBorder="1" applyAlignment="1">
      <alignment horizontal="center"/>
    </xf>
    <xf numFmtId="0" fontId="13" fillId="18" borderId="9" xfId="0" applyFont="1" applyFill="1" applyBorder="1" applyAlignment="1">
      <alignment horizontal="left"/>
    </xf>
    <xf numFmtId="0" fontId="13" fillId="18" borderId="10" xfId="0" applyFont="1" applyFill="1" applyBorder="1" applyAlignment="1">
      <alignment horizontal="left"/>
    </xf>
    <xf numFmtId="0" fontId="13" fillId="18" borderId="11" xfId="0" applyFont="1" applyFill="1" applyBorder="1" applyAlignment="1">
      <alignment horizontal="left"/>
    </xf>
    <xf numFmtId="0" fontId="0" fillId="18" borderId="9" xfId="0" applyFill="1" applyBorder="1" applyAlignment="1">
      <alignment horizontal="left"/>
    </xf>
    <xf numFmtId="0" fontId="0" fillId="18" borderId="10" xfId="0" applyFill="1" applyBorder="1" applyAlignment="1">
      <alignment horizontal="left"/>
    </xf>
    <xf numFmtId="0" fontId="0" fillId="18" borderId="11" xfId="0" applyFill="1" applyBorder="1" applyAlignment="1">
      <alignment horizontal="left"/>
    </xf>
    <xf numFmtId="0" fontId="4" fillId="0" borderId="1" xfId="0" applyFont="1" applyBorder="1" applyAlignment="1">
      <alignment horizontal="left" vertical="top" wrapText="1"/>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2" xfId="0" applyFont="1" applyBorder="1" applyAlignment="1">
      <alignment horizontal="left"/>
    </xf>
    <xf numFmtId="0" fontId="4" fillId="0" borderId="3"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3" fillId="17" borderId="1" xfId="0" applyFont="1" applyFill="1" applyBorder="1" applyAlignment="1">
      <alignment horizontal="left"/>
    </xf>
    <xf numFmtId="0" fontId="3" fillId="17" borderId="2" xfId="0" applyFont="1" applyFill="1" applyBorder="1" applyAlignment="1">
      <alignment horizontal="left"/>
    </xf>
    <xf numFmtId="0" fontId="3" fillId="17" borderId="3" xfId="0" applyFont="1" applyFill="1" applyBorder="1" applyAlignment="1">
      <alignment horizontal="left"/>
    </xf>
    <xf numFmtId="3" fontId="0" fillId="0" borderId="1" xfId="0" applyNumberFormat="1" applyBorder="1" applyAlignment="1">
      <alignment horizontal="center"/>
    </xf>
    <xf numFmtId="3" fontId="0" fillId="0" borderId="2" xfId="0" applyNumberFormat="1" applyBorder="1" applyAlignment="1">
      <alignment horizontal="center"/>
    </xf>
    <xf numFmtId="3" fontId="0" fillId="0" borderId="3" xfId="0" applyNumberFormat="1" applyBorder="1" applyAlignment="1">
      <alignment horizontal="center"/>
    </xf>
    <xf numFmtId="3" fontId="0" fillId="0" borderId="6" xfId="0" applyNumberFormat="1" applyBorder="1" applyAlignment="1">
      <alignment horizontal="center"/>
    </xf>
    <xf numFmtId="3" fontId="0" fillId="0" borderId="7" xfId="0" applyNumberFormat="1" applyBorder="1" applyAlignment="1">
      <alignment horizontal="center"/>
    </xf>
    <xf numFmtId="3" fontId="0" fillId="0" borderId="8" xfId="0" applyNumberFormat="1" applyBorder="1" applyAlignment="1">
      <alignment horizontal="center"/>
    </xf>
    <xf numFmtId="0" fontId="3" fillId="17" borderId="6" xfId="0" applyFont="1" applyFill="1" applyBorder="1" applyAlignment="1">
      <alignment horizontal="left"/>
    </xf>
    <xf numFmtId="0" fontId="3" fillId="17" borderId="7" xfId="0" applyFont="1" applyFill="1" applyBorder="1" applyAlignment="1">
      <alignment horizontal="left"/>
    </xf>
    <xf numFmtId="0" fontId="3" fillId="17" borderId="8" xfId="0" applyFont="1" applyFill="1" applyBorder="1" applyAlignment="1">
      <alignment horizontal="left"/>
    </xf>
    <xf numFmtId="3" fontId="2" fillId="0" borderId="1" xfId="0" applyNumberFormat="1" applyFont="1" applyBorder="1" applyAlignment="1">
      <alignment horizontal="center"/>
    </xf>
    <xf numFmtId="3" fontId="2" fillId="0" borderId="2" xfId="0" applyNumberFormat="1" applyFont="1" applyBorder="1" applyAlignment="1">
      <alignment horizontal="center"/>
    </xf>
    <xf numFmtId="3" fontId="2" fillId="0" borderId="3" xfId="0" applyNumberFormat="1" applyFont="1" applyBorder="1" applyAlignment="1">
      <alignment horizontal="center"/>
    </xf>
    <xf numFmtId="3" fontId="2" fillId="0" borderId="6" xfId="0" applyNumberFormat="1" applyFont="1" applyBorder="1" applyAlignment="1">
      <alignment horizontal="center"/>
    </xf>
    <xf numFmtId="3" fontId="2" fillId="0" borderId="7" xfId="0" applyNumberFormat="1" applyFont="1" applyBorder="1" applyAlignment="1">
      <alignment horizontal="center"/>
    </xf>
    <xf numFmtId="3" fontId="2" fillId="0" borderId="8" xfId="0" applyNumberFormat="1" applyFont="1" applyBorder="1" applyAlignment="1">
      <alignment horizontal="center"/>
    </xf>
    <xf numFmtId="0" fontId="3" fillId="24" borderId="9" xfId="0" applyFont="1" applyFill="1" applyBorder="1" applyAlignment="1">
      <alignment horizontal="left"/>
    </xf>
    <xf numFmtId="0" fontId="3" fillId="24" borderId="10" xfId="0" applyFont="1" applyFill="1" applyBorder="1" applyAlignment="1">
      <alignment horizontal="left"/>
    </xf>
    <xf numFmtId="0" fontId="3" fillId="24" borderId="11" xfId="0" applyFont="1" applyFill="1" applyBorder="1" applyAlignment="1">
      <alignment horizontal="left"/>
    </xf>
    <xf numFmtId="3" fontId="0" fillId="23" borderId="9" xfId="0" applyNumberFormat="1" applyFill="1" applyBorder="1" applyAlignment="1" applyProtection="1">
      <alignment horizontal="center"/>
      <protection locked="0"/>
    </xf>
    <xf numFmtId="3" fontId="0" fillId="23" borderId="10" xfId="0" applyNumberFormat="1" applyFill="1" applyBorder="1" applyAlignment="1" applyProtection="1">
      <alignment horizontal="center"/>
      <protection locked="0"/>
    </xf>
    <xf numFmtId="3" fontId="0" fillId="23" borderId="11" xfId="0" applyNumberFormat="1" applyFill="1" applyBorder="1" applyAlignment="1" applyProtection="1">
      <alignment horizontal="center"/>
      <protection locked="0"/>
    </xf>
    <xf numFmtId="3" fontId="2" fillId="0" borderId="4" xfId="0" applyNumberFormat="1" applyFont="1" applyBorder="1" applyAlignment="1">
      <alignment horizontal="center"/>
    </xf>
    <xf numFmtId="3" fontId="2" fillId="0" borderId="0" xfId="0" applyNumberFormat="1" applyFont="1" applyAlignment="1">
      <alignment horizontal="center"/>
    </xf>
    <xf numFmtId="3" fontId="2" fillId="0" borderId="5" xfId="0" applyNumberFormat="1" applyFont="1" applyBorder="1" applyAlignment="1">
      <alignment horizontal="center"/>
    </xf>
    <xf numFmtId="0" fontId="6" fillId="17" borderId="4" xfId="0" applyFont="1" applyFill="1" applyBorder="1" applyAlignment="1">
      <alignment horizontal="left"/>
    </xf>
    <xf numFmtId="0" fontId="6" fillId="17" borderId="0" xfId="0" applyFont="1" applyFill="1" applyAlignment="1">
      <alignment horizontal="left"/>
    </xf>
    <xf numFmtId="0" fontId="6" fillId="17" borderId="5" xfId="0" applyFont="1" applyFill="1" applyBorder="1" applyAlignment="1">
      <alignment horizontal="left"/>
    </xf>
    <xf numFmtId="0" fontId="6" fillId="17" borderId="6" xfId="0" applyFont="1" applyFill="1" applyBorder="1" applyAlignment="1">
      <alignment horizontal="left"/>
    </xf>
    <xf numFmtId="0" fontId="6" fillId="17" borderId="7" xfId="0" applyFont="1" applyFill="1" applyBorder="1" applyAlignment="1">
      <alignment horizontal="left"/>
    </xf>
    <xf numFmtId="0" fontId="6" fillId="17" borderId="8" xfId="0" applyFont="1" applyFill="1" applyBorder="1" applyAlignment="1">
      <alignment horizontal="left"/>
    </xf>
    <xf numFmtId="10" fontId="2" fillId="0" borderId="1" xfId="1" applyNumberFormat="1" applyFont="1" applyBorder="1" applyAlignment="1" applyProtection="1">
      <alignment horizontal="center"/>
    </xf>
    <xf numFmtId="10" fontId="2" fillId="0" borderId="2" xfId="1" applyNumberFormat="1" applyFont="1" applyBorder="1" applyAlignment="1" applyProtection="1">
      <alignment horizontal="center"/>
    </xf>
    <xf numFmtId="10" fontId="2" fillId="0" borderId="3" xfId="1" applyNumberFormat="1" applyFont="1" applyBorder="1" applyAlignment="1" applyProtection="1">
      <alignment horizontal="center"/>
    </xf>
    <xf numFmtId="0" fontId="6" fillId="17" borderId="9" xfId="0" applyFont="1" applyFill="1" applyBorder="1" applyAlignment="1">
      <alignment horizontal="left"/>
    </xf>
    <xf numFmtId="0" fontId="0" fillId="0" borderId="10" xfId="0" applyBorder="1" applyAlignment="1">
      <alignment horizontal="left"/>
    </xf>
    <xf numFmtId="0" fontId="0" fillId="0" borderId="11" xfId="0" applyBorder="1" applyAlignment="1">
      <alignment horizontal="left"/>
    </xf>
    <xf numFmtId="10" fontId="2" fillId="0" borderId="9" xfId="1" applyNumberFormat="1" applyFont="1" applyBorder="1" applyAlignment="1" applyProtection="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48" fillId="17" borderId="1" xfId="0" applyFont="1" applyFill="1" applyBorder="1" applyAlignment="1">
      <alignment horizontal="left" vertical="top"/>
    </xf>
    <xf numFmtId="0" fontId="48" fillId="17" borderId="2" xfId="0" applyFont="1" applyFill="1" applyBorder="1" applyAlignment="1">
      <alignment horizontal="left" vertical="top"/>
    </xf>
    <xf numFmtId="0" fontId="48" fillId="17" borderId="3" xfId="0" applyFont="1" applyFill="1" applyBorder="1" applyAlignment="1">
      <alignment horizontal="left" vertical="top"/>
    </xf>
    <xf numFmtId="0" fontId="48" fillId="17" borderId="6" xfId="0" applyFont="1" applyFill="1" applyBorder="1" applyAlignment="1">
      <alignment horizontal="left" vertical="top"/>
    </xf>
    <xf numFmtId="0" fontId="48" fillId="17" borderId="7" xfId="0" applyFont="1" applyFill="1" applyBorder="1" applyAlignment="1">
      <alignment horizontal="left" vertical="top"/>
    </xf>
    <xf numFmtId="0" fontId="48" fillId="17" borderId="8" xfId="0" applyFont="1" applyFill="1" applyBorder="1" applyAlignment="1">
      <alignment horizontal="left" vertical="top"/>
    </xf>
    <xf numFmtId="0" fontId="49" fillId="24" borderId="4" xfId="0" applyFont="1" applyFill="1" applyBorder="1" applyAlignment="1">
      <alignment horizontal="left"/>
    </xf>
    <xf numFmtId="0" fontId="49" fillId="24" borderId="0" xfId="0" applyFont="1" applyFill="1" applyAlignment="1">
      <alignment horizontal="left"/>
    </xf>
    <xf numFmtId="0" fontId="49" fillId="24" borderId="5" xfId="0" applyFont="1" applyFill="1" applyBorder="1" applyAlignment="1">
      <alignment horizontal="left"/>
    </xf>
    <xf numFmtId="0" fontId="13" fillId="3" borderId="4" xfId="0" applyFont="1" applyFill="1" applyBorder="1" applyAlignment="1">
      <alignment horizontal="center"/>
    </xf>
    <xf numFmtId="0" fontId="13" fillId="3" borderId="0" xfId="0" applyFont="1" applyFill="1" applyAlignment="1">
      <alignment horizontal="center"/>
    </xf>
    <xf numFmtId="0" fontId="13" fillId="3" borderId="5" xfId="0" applyFont="1" applyFill="1" applyBorder="1" applyAlignment="1">
      <alignment horizontal="center"/>
    </xf>
    <xf numFmtId="0" fontId="13" fillId="3" borderId="6" xfId="0" applyFont="1" applyFill="1" applyBorder="1" applyAlignment="1">
      <alignment horizontal="center"/>
    </xf>
    <xf numFmtId="0" fontId="13" fillId="3" borderId="7" xfId="0" applyFont="1" applyFill="1" applyBorder="1" applyAlignment="1">
      <alignment horizontal="center"/>
    </xf>
    <xf numFmtId="0" fontId="13" fillId="3" borderId="8" xfId="0" applyFont="1" applyFill="1" applyBorder="1" applyAlignment="1">
      <alignment horizontal="center"/>
    </xf>
    <xf numFmtId="0" fontId="0" fillId="23" borderId="1" xfId="0" applyFill="1" applyBorder="1" applyAlignment="1" applyProtection="1">
      <alignment horizontal="center"/>
      <protection locked="0"/>
    </xf>
    <xf numFmtId="0" fontId="0" fillId="23" borderId="2" xfId="0" applyFill="1" applyBorder="1" applyAlignment="1" applyProtection="1">
      <alignment horizontal="center"/>
      <protection locked="0"/>
    </xf>
    <xf numFmtId="0" fontId="0" fillId="23" borderId="3" xfId="0" applyFill="1" applyBorder="1" applyAlignment="1" applyProtection="1">
      <alignment horizontal="center"/>
      <protection locked="0"/>
    </xf>
    <xf numFmtId="9" fontId="0" fillId="17" borderId="1" xfId="1" applyFont="1" applyFill="1" applyBorder="1" applyAlignment="1" applyProtection="1">
      <alignment horizontal="center"/>
    </xf>
    <xf numFmtId="9" fontId="0" fillId="17" borderId="3" xfId="1" applyFont="1" applyFill="1" applyBorder="1" applyAlignment="1" applyProtection="1">
      <alignment horizontal="center"/>
    </xf>
    <xf numFmtId="0" fontId="21" fillId="4" borderId="0" xfId="0" applyFont="1" applyFill="1" applyAlignment="1">
      <alignment horizontal="center"/>
    </xf>
    <xf numFmtId="0" fontId="21" fillId="4" borderId="7" xfId="0" applyFont="1" applyFill="1" applyBorder="1" applyAlignment="1">
      <alignment horizontal="center"/>
    </xf>
    <xf numFmtId="164" fontId="0" fillId="0" borderId="0" xfId="0" applyNumberFormat="1" applyAlignment="1">
      <alignment horizontal="center"/>
    </xf>
    <xf numFmtId="9" fontId="0" fillId="0" borderId="0" xfId="1" applyFont="1" applyFill="1" applyBorder="1" applyAlignment="1" applyProtection="1">
      <alignment horizontal="center"/>
    </xf>
    <xf numFmtId="0" fontId="7" fillId="0" borderId="20" xfId="2" applyFont="1" applyFill="1" applyBorder="1" applyAlignment="1" applyProtection="1">
      <alignment horizontal="left" vertical="top" wrapText="1"/>
    </xf>
    <xf numFmtId="3" fontId="0" fillId="17" borderId="9" xfId="0" applyNumberFormat="1" applyFill="1" applyBorder="1" applyAlignment="1">
      <alignment horizontal="center"/>
    </xf>
    <xf numFmtId="3" fontId="0" fillId="17" borderId="10" xfId="0" applyNumberFormat="1" applyFill="1" applyBorder="1" applyAlignment="1">
      <alignment horizontal="center"/>
    </xf>
    <xf numFmtId="3" fontId="0" fillId="17" borderId="11" xfId="0" applyNumberFormat="1" applyFill="1" applyBorder="1" applyAlignment="1">
      <alignment horizontal="center"/>
    </xf>
    <xf numFmtId="0" fontId="13" fillId="2" borderId="12" xfId="0" applyFont="1" applyFill="1" applyBorder="1" applyAlignment="1">
      <alignment horizontal="left"/>
    </xf>
    <xf numFmtId="0" fontId="13" fillId="2" borderId="13" xfId="0" applyFont="1" applyFill="1" applyBorder="1" applyAlignment="1">
      <alignment horizontal="left"/>
    </xf>
    <xf numFmtId="0" fontId="13" fillId="2" borderId="14" xfId="0" applyFont="1" applyFill="1" applyBorder="1" applyAlignment="1">
      <alignment horizontal="left"/>
    </xf>
    <xf numFmtId="0" fontId="0" fillId="24" borderId="1" xfId="0" applyFill="1" applyBorder="1" applyAlignment="1">
      <alignment horizontal="center"/>
    </xf>
    <xf numFmtId="0" fontId="0" fillId="24" borderId="2" xfId="0" applyFill="1" applyBorder="1" applyAlignment="1">
      <alignment horizontal="center"/>
    </xf>
    <xf numFmtId="0" fontId="0" fillId="24" borderId="3" xfId="0" applyFill="1" applyBorder="1" applyAlignment="1">
      <alignment horizontal="center"/>
    </xf>
    <xf numFmtId="0" fontId="0" fillId="24" borderId="6" xfId="0" applyFill="1" applyBorder="1" applyAlignment="1">
      <alignment horizontal="center"/>
    </xf>
    <xf numFmtId="0" fontId="0" fillId="24" borderId="7" xfId="0" applyFill="1" applyBorder="1" applyAlignment="1">
      <alignment horizontal="center"/>
    </xf>
    <xf numFmtId="0" fontId="0" fillId="24" borderId="8" xfId="0" applyFill="1" applyBorder="1" applyAlignment="1">
      <alignment horizontal="center"/>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20" fillId="0" borderId="17" xfId="0" applyFont="1" applyBorder="1" applyAlignment="1">
      <alignment horizontal="left" vertical="top" wrapText="1"/>
    </xf>
    <xf numFmtId="0" fontId="0" fillId="0" borderId="0" xfId="0" applyAlignment="1">
      <alignment horizontal="left" vertical="top" wrapText="1"/>
    </xf>
    <xf numFmtId="0" fontId="7" fillId="0" borderId="17" xfId="0" applyFont="1" applyBorder="1" applyAlignment="1">
      <alignment horizontal="left" vertical="top" wrapText="1"/>
    </xf>
    <xf numFmtId="0" fontId="18" fillId="0" borderId="0" xfId="0" applyFont="1" applyAlignment="1">
      <alignment horizontal="left" vertical="top" wrapText="1"/>
    </xf>
    <xf numFmtId="0" fontId="62" fillId="0" borderId="0" xfId="0" applyFont="1" applyAlignment="1">
      <alignment horizontal="left" vertical="top" wrapText="1"/>
    </xf>
    <xf numFmtId="0" fontId="0" fillId="0" borderId="0" xfId="0" applyAlignment="1">
      <alignment horizontal="left"/>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6" fillId="0" borderId="0" xfId="0" applyFont="1" applyAlignment="1">
      <alignment horizontal="left" vertical="top" wrapText="1"/>
    </xf>
    <xf numFmtId="0" fontId="18" fillId="2" borderId="9" xfId="0" applyFont="1" applyFill="1" applyBorder="1"/>
    <xf numFmtId="0" fontId="18" fillId="2" borderId="10" xfId="0" applyFont="1" applyFill="1" applyBorder="1"/>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0" fillId="0" borderId="25" xfId="0" applyBorder="1" applyAlignment="1">
      <alignment horizontal="left" vertical="top"/>
    </xf>
    <xf numFmtId="168" fontId="56" fillId="0" borderId="29" xfId="0" applyNumberFormat="1" applyFont="1" applyBorder="1" applyAlignment="1">
      <alignment horizontal="right"/>
    </xf>
    <xf numFmtId="168" fontId="0" fillId="0" borderId="15" xfId="0" applyNumberFormat="1" applyBorder="1" applyAlignment="1">
      <alignment horizontal="right"/>
    </xf>
    <xf numFmtId="168" fontId="0" fillId="0" borderId="30" xfId="0" applyNumberFormat="1" applyBorder="1" applyAlignment="1">
      <alignment horizontal="right"/>
    </xf>
    <xf numFmtId="168" fontId="56" fillId="0" borderId="31" xfId="0" applyNumberFormat="1" applyFont="1" applyBorder="1" applyAlignment="1">
      <alignment horizontal="right"/>
    </xf>
    <xf numFmtId="168" fontId="0" fillId="0" borderId="36" xfId="0" applyNumberFormat="1" applyBorder="1" applyAlignment="1">
      <alignment horizontal="right"/>
    </xf>
    <xf numFmtId="168" fontId="0" fillId="0" borderId="32" xfId="0" applyNumberFormat="1" applyBorder="1" applyAlignment="1">
      <alignment horizontal="right"/>
    </xf>
    <xf numFmtId="168" fontId="56" fillId="0" borderId="27" xfId="0" applyNumberFormat="1" applyFont="1" applyBorder="1" applyAlignment="1">
      <alignment horizontal="right"/>
    </xf>
    <xf numFmtId="168" fontId="0" fillId="0" borderId="35" xfId="0" applyNumberFormat="1" applyBorder="1" applyAlignment="1">
      <alignment horizontal="right"/>
    </xf>
    <xf numFmtId="168" fontId="0" fillId="0" borderId="28" xfId="0" applyNumberFormat="1" applyBorder="1" applyAlignment="1">
      <alignment horizontal="right"/>
    </xf>
    <xf numFmtId="168" fontId="54" fillId="0" borderId="29" xfId="0" applyNumberFormat="1" applyFont="1" applyBorder="1"/>
    <xf numFmtId="168" fontId="0" fillId="0" borderId="15" xfId="0" applyNumberFormat="1" applyBorder="1"/>
    <xf numFmtId="0" fontId="53" fillId="4" borderId="12" xfId="0" applyFont="1" applyFill="1" applyBorder="1"/>
    <xf numFmtId="0" fontId="0" fillId="4" borderId="13" xfId="0" applyFill="1" applyBorder="1"/>
    <xf numFmtId="0" fontId="0" fillId="4" borderId="14" xfId="0" applyFill="1" applyBorder="1"/>
    <xf numFmtId="168" fontId="54" fillId="0" borderId="68" xfId="0" applyNumberFormat="1" applyFont="1" applyBorder="1"/>
    <xf numFmtId="168" fontId="0" fillId="0" borderId="43" xfId="0" applyNumberFormat="1" applyBorder="1"/>
    <xf numFmtId="168" fontId="53" fillId="0" borderId="29" xfId="0" applyNumberFormat="1" applyFont="1" applyBorder="1"/>
    <xf numFmtId="168" fontId="2" fillId="0" borderId="15" xfId="0" applyNumberFormat="1" applyFont="1" applyBorder="1"/>
    <xf numFmtId="168" fontId="54" fillId="0" borderId="41" xfId="0" applyNumberFormat="1" applyFont="1" applyBorder="1"/>
    <xf numFmtId="168" fontId="0" fillId="0" borderId="42" xfId="0" applyNumberFormat="1" applyBorder="1"/>
    <xf numFmtId="168" fontId="0" fillId="0" borderId="37" xfId="0" applyNumberFormat="1" applyBorder="1"/>
    <xf numFmtId="168" fontId="54" fillId="0" borderId="38" xfId="0" applyNumberFormat="1" applyFont="1" applyBorder="1"/>
    <xf numFmtId="168" fontId="0" fillId="0" borderId="10" xfId="0" applyNumberFormat="1" applyBorder="1"/>
    <xf numFmtId="168" fontId="0" fillId="0" borderId="11" xfId="0" applyNumberFormat="1" applyBorder="1"/>
    <xf numFmtId="168" fontId="54" fillId="0" borderId="10" xfId="0" applyNumberFormat="1" applyFont="1" applyBorder="1"/>
    <xf numFmtId="168" fontId="54" fillId="0" borderId="11" xfId="0" applyNumberFormat="1" applyFont="1" applyBorder="1"/>
    <xf numFmtId="168" fontId="54" fillId="0" borderId="39" xfId="0" applyNumberFormat="1" applyFont="1" applyBorder="1"/>
    <xf numFmtId="168" fontId="54" fillId="0" borderId="40" xfId="0" applyNumberFormat="1" applyFont="1" applyBorder="1"/>
    <xf numFmtId="168" fontId="54" fillId="0" borderId="24" xfId="0" applyNumberFormat="1" applyFont="1" applyBorder="1"/>
    <xf numFmtId="168" fontId="54" fillId="0" borderId="31" xfId="0" applyNumberFormat="1" applyFont="1" applyBorder="1"/>
    <xf numFmtId="168" fontId="0" fillId="0" borderId="36" xfId="0" applyNumberFormat="1" applyBorder="1"/>
    <xf numFmtId="168" fontId="54" fillId="0" borderId="17" xfId="0" applyNumberFormat="1" applyFont="1" applyBorder="1"/>
    <xf numFmtId="0" fontId="0" fillId="0" borderId="72" xfId="0" applyBorder="1"/>
    <xf numFmtId="0" fontId="54" fillId="0" borderId="0" xfId="0" quotePrefix="1" applyFont="1" applyAlignment="1">
      <alignment wrapText="1"/>
    </xf>
    <xf numFmtId="0" fontId="0" fillId="0" borderId="36" xfId="0" applyBorder="1"/>
    <xf numFmtId="168" fontId="54" fillId="0" borderId="46" xfId="0" applyNumberFormat="1" applyFont="1" applyBorder="1"/>
    <xf numFmtId="168" fontId="0" fillId="0" borderId="51" xfId="0" applyNumberFormat="1" applyBorder="1"/>
    <xf numFmtId="0" fontId="13" fillId="0" borderId="17" xfId="0" applyFont="1" applyBorder="1" applyProtection="1">
      <protection locked="0"/>
    </xf>
    <xf numFmtId="0" fontId="0" fillId="0" borderId="19" xfId="0" applyBorder="1" applyProtection="1">
      <protection locked="0"/>
    </xf>
    <xf numFmtId="0" fontId="0" fillId="0" borderId="22" xfId="0" applyBorder="1" applyProtection="1">
      <protection locked="0"/>
    </xf>
    <xf numFmtId="0" fontId="0" fillId="0" borderId="25" xfId="0" applyBorder="1" applyProtection="1">
      <protection locked="0"/>
    </xf>
    <xf numFmtId="0" fontId="0" fillId="0" borderId="12" xfId="0" applyBorder="1" applyProtection="1">
      <protection locked="0"/>
    </xf>
    <xf numFmtId="0" fontId="0" fillId="0" borderId="14" xfId="0" applyBorder="1" applyProtection="1">
      <protection locked="0"/>
    </xf>
    <xf numFmtId="0" fontId="53" fillId="4" borderId="44" xfId="0" quotePrefix="1" applyFont="1" applyFill="1" applyBorder="1" applyAlignment="1">
      <alignment horizontal="left"/>
    </xf>
    <xf numFmtId="0" fontId="2" fillId="4" borderId="48" xfId="0" applyFont="1" applyFill="1" applyBorder="1" applyAlignment="1">
      <alignment horizontal="left"/>
    </xf>
    <xf numFmtId="0" fontId="2" fillId="4" borderId="48" xfId="0" applyFont="1" applyFill="1" applyBorder="1"/>
    <xf numFmtId="168" fontId="54" fillId="0" borderId="68" xfId="0" quotePrefix="1" applyNumberFormat="1" applyFont="1" applyBorder="1" applyAlignment="1">
      <alignment horizontal="left"/>
    </xf>
    <xf numFmtId="168" fontId="0" fillId="0" borderId="43" xfId="0" applyNumberFormat="1" applyBorder="1" applyAlignment="1">
      <alignment horizontal="left"/>
    </xf>
    <xf numFmtId="0" fontId="53" fillId="4" borderId="17" xfId="0" applyFont="1" applyFill="1" applyBorder="1" applyAlignment="1">
      <alignment horizontal="center" vertical="center"/>
    </xf>
    <xf numFmtId="0" fontId="53" fillId="4" borderId="44" xfId="0" applyFont="1" applyFill="1" applyBorder="1"/>
    <xf numFmtId="0" fontId="2" fillId="4" borderId="45" xfId="0" applyFont="1" applyFill="1" applyBorder="1"/>
    <xf numFmtId="0" fontId="54" fillId="4" borderId="17" xfId="0" applyFont="1" applyFill="1" applyBorder="1" applyAlignment="1">
      <alignment horizontal="left" vertical="top" wrapText="1"/>
    </xf>
    <xf numFmtId="0" fontId="54" fillId="4" borderId="18" xfId="0" applyFont="1" applyFill="1" applyBorder="1" applyAlignment="1">
      <alignment horizontal="left" vertical="top" wrapText="1"/>
    </xf>
    <xf numFmtId="0" fontId="54" fillId="4" borderId="19" xfId="0" applyFont="1" applyFill="1" applyBorder="1" applyAlignment="1">
      <alignment horizontal="left" vertical="top" wrapText="1"/>
    </xf>
    <xf numFmtId="0" fontId="54" fillId="4" borderId="22" xfId="0" applyFont="1" applyFill="1" applyBorder="1" applyAlignment="1">
      <alignment horizontal="left" vertical="top" wrapText="1"/>
    </xf>
    <xf numFmtId="0" fontId="54" fillId="4" borderId="23" xfId="0" applyFont="1" applyFill="1" applyBorder="1" applyAlignment="1">
      <alignment horizontal="left" vertical="top" wrapText="1"/>
    </xf>
    <xf numFmtId="0" fontId="54" fillId="4" borderId="25" xfId="0" applyFont="1" applyFill="1" applyBorder="1" applyAlignment="1">
      <alignment horizontal="left" vertical="top" wrapText="1"/>
    </xf>
    <xf numFmtId="168" fontId="54" fillId="0" borderId="46" xfId="0" quotePrefix="1" applyNumberFormat="1" applyFont="1" applyBorder="1" applyAlignment="1">
      <alignment horizontal="left"/>
    </xf>
    <xf numFmtId="168" fontId="0" fillId="0" borderId="51" xfId="0" applyNumberFormat="1" applyBorder="1" applyAlignment="1">
      <alignment horizontal="left"/>
    </xf>
    <xf numFmtId="0" fontId="54" fillId="4" borderId="44" xfId="0" quotePrefix="1" applyFont="1" applyFill="1" applyBorder="1" applyAlignment="1">
      <alignment horizontal="left"/>
    </xf>
    <xf numFmtId="0" fontId="0" fillId="4" borderId="48" xfId="0" applyFill="1" applyBorder="1" applyAlignment="1">
      <alignment horizontal="left"/>
    </xf>
    <xf numFmtId="0" fontId="0" fillId="4" borderId="48" xfId="0" applyFill="1" applyBorder="1"/>
  </cellXfs>
  <cellStyles count="4">
    <cellStyle name="Hyperlink" xfId="2" builtinId="8"/>
    <cellStyle name="Procent" xfId="1" builtinId="5"/>
    <cellStyle name="Standaard" xfId="0" builtinId="0"/>
    <cellStyle name="Valuta" xfId="3" builtinId="4"/>
  </cellStyles>
  <dxfs count="32">
    <dxf>
      <fill>
        <patternFill>
          <bgColor rgb="FFFFC000"/>
        </patternFill>
      </fill>
    </dxf>
    <dxf>
      <fill>
        <patternFill>
          <bgColor rgb="FFFF0000"/>
        </patternFill>
      </fill>
    </dxf>
    <dxf>
      <fill>
        <patternFill>
          <bgColor rgb="FF92D050"/>
        </patternFill>
      </fill>
    </dxf>
    <dxf>
      <font>
        <color rgb="FF9C0006"/>
      </font>
      <fill>
        <patternFill>
          <bgColor rgb="FFFFC7CE"/>
        </patternFill>
      </fill>
    </dxf>
    <dxf>
      <fill>
        <patternFill>
          <bgColor rgb="FF7030A0"/>
        </patternFill>
      </fill>
    </dxf>
    <dxf>
      <fill>
        <patternFill patternType="none">
          <bgColor auto="1"/>
        </patternFill>
      </fill>
    </dxf>
    <dxf>
      <font>
        <color theme="1"/>
      </font>
    </dxf>
    <dxf>
      <font>
        <color theme="0"/>
      </font>
    </dxf>
    <dxf>
      <fill>
        <patternFill>
          <bgColor rgb="FFFF0000"/>
        </patternFill>
      </fill>
    </dxf>
    <dxf>
      <fill>
        <patternFill>
          <bgColor theme="0"/>
        </patternFill>
      </fill>
    </dxf>
    <dxf>
      <font>
        <strike/>
      </font>
      <fill>
        <patternFill>
          <bgColor theme="1"/>
        </patternFill>
      </fill>
    </dxf>
    <dxf>
      <font>
        <strike/>
      </font>
      <fill>
        <patternFill>
          <bgColor theme="1"/>
        </patternFill>
      </fill>
    </dxf>
    <dxf>
      <font>
        <color rgb="FF9C0006"/>
      </font>
      <fill>
        <patternFill>
          <bgColor rgb="FFFFC7CE"/>
        </patternFill>
      </fill>
    </dxf>
    <dxf>
      <fill>
        <patternFill>
          <bgColor rgb="FF7030A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7030A0"/>
        </patternFill>
      </fill>
    </dxf>
    <dxf>
      <fill>
        <patternFill>
          <bgColor rgb="FFFF0000"/>
        </patternFill>
      </fill>
    </dxf>
    <dxf>
      <fill>
        <patternFill>
          <bgColor rgb="FFFF0000"/>
        </patternFill>
      </fill>
    </dxf>
    <dxf>
      <fill>
        <patternFill>
          <bgColor rgb="FFFF0000"/>
        </patternFill>
      </fill>
    </dxf>
    <dxf>
      <font>
        <color theme="0"/>
      </font>
    </dxf>
    <dxf>
      <font>
        <color theme="1"/>
      </font>
    </dxf>
    <dxf>
      <font>
        <color theme="0"/>
      </font>
      <fill>
        <gradientFill degree="90">
          <stop position="0">
            <color theme="0"/>
          </stop>
          <stop position="1">
            <color theme="0"/>
          </stop>
        </gradient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2F2F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22860</xdr:colOff>
      <xdr:row>48</xdr:row>
      <xdr:rowOff>76200</xdr:rowOff>
    </xdr:from>
    <xdr:to>
      <xdr:col>3</xdr:col>
      <xdr:colOff>1402080</xdr:colOff>
      <xdr:row>50</xdr:row>
      <xdr:rowOff>99060</xdr:rowOff>
    </xdr:to>
    <xdr:cxnSp macro="">
      <xdr:nvCxnSpPr>
        <xdr:cNvPr id="5" name="Rechte verbindingslijn met pijl 4">
          <a:extLst>
            <a:ext uri="{FF2B5EF4-FFF2-40B4-BE49-F238E27FC236}">
              <a16:creationId xmlns:a16="http://schemas.microsoft.com/office/drawing/2014/main" id="{C91FEEB3-E363-4CF6-ACC3-FDDDC523D1EB}"/>
            </a:ext>
          </a:extLst>
        </xdr:cNvPr>
        <xdr:cNvCxnSpPr/>
      </xdr:nvCxnSpPr>
      <xdr:spPr>
        <a:xfrm flipV="1">
          <a:off x="6461760" y="9060180"/>
          <a:ext cx="1379220" cy="3962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15240</xdr:colOff>
      <xdr:row>51</xdr:row>
      <xdr:rowOff>99060</xdr:rowOff>
    </xdr:from>
    <xdr:to>
      <xdr:col>3</xdr:col>
      <xdr:colOff>1379220</xdr:colOff>
      <xdr:row>52</xdr:row>
      <xdr:rowOff>502920</xdr:rowOff>
    </xdr:to>
    <xdr:cxnSp macro="">
      <xdr:nvCxnSpPr>
        <xdr:cNvPr id="7" name="Rechte verbindingslijn met pijl 6">
          <a:extLst>
            <a:ext uri="{FF2B5EF4-FFF2-40B4-BE49-F238E27FC236}">
              <a16:creationId xmlns:a16="http://schemas.microsoft.com/office/drawing/2014/main" id="{3C7B1B41-B0D1-474E-8610-863939ABECFC}"/>
            </a:ext>
          </a:extLst>
        </xdr:cNvPr>
        <xdr:cNvCxnSpPr/>
      </xdr:nvCxnSpPr>
      <xdr:spPr>
        <a:xfrm>
          <a:off x="7254240" y="9646920"/>
          <a:ext cx="1363980" cy="59436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50</xdr:row>
      <xdr:rowOff>91440</xdr:rowOff>
    </xdr:from>
    <xdr:to>
      <xdr:col>7</xdr:col>
      <xdr:colOff>1066800</xdr:colOff>
      <xdr:row>52</xdr:row>
      <xdr:rowOff>182880</xdr:rowOff>
    </xdr:to>
    <xdr:cxnSp macro="">
      <xdr:nvCxnSpPr>
        <xdr:cNvPr id="8" name="Rechte verbindingslijn met pijl 7">
          <a:extLst>
            <a:ext uri="{FF2B5EF4-FFF2-40B4-BE49-F238E27FC236}">
              <a16:creationId xmlns:a16="http://schemas.microsoft.com/office/drawing/2014/main" id="{8849A70A-97BE-4D65-B9F4-AAA72D71288D}"/>
            </a:ext>
          </a:extLst>
        </xdr:cNvPr>
        <xdr:cNvCxnSpPr/>
      </xdr:nvCxnSpPr>
      <xdr:spPr>
        <a:xfrm flipV="1">
          <a:off x="7124700" y="1390650"/>
          <a:ext cx="609600" cy="4667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22860</xdr:colOff>
      <xdr:row>53</xdr:row>
      <xdr:rowOff>205740</xdr:rowOff>
    </xdr:from>
    <xdr:to>
      <xdr:col>8</xdr:col>
      <xdr:colOff>15240</xdr:colOff>
      <xdr:row>54</xdr:row>
      <xdr:rowOff>38100</xdr:rowOff>
    </xdr:to>
    <xdr:cxnSp macro="">
      <xdr:nvCxnSpPr>
        <xdr:cNvPr id="10" name="Rechte verbindingslijn met pijl 9">
          <a:extLst>
            <a:ext uri="{FF2B5EF4-FFF2-40B4-BE49-F238E27FC236}">
              <a16:creationId xmlns:a16="http://schemas.microsoft.com/office/drawing/2014/main" id="{FD07D80F-A9BC-4FC9-B19B-5B85E356922C}"/>
            </a:ext>
          </a:extLst>
        </xdr:cNvPr>
        <xdr:cNvCxnSpPr/>
      </xdr:nvCxnSpPr>
      <xdr:spPr>
        <a:xfrm>
          <a:off x="8999220" y="10294620"/>
          <a:ext cx="601980" cy="1676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38615</xdr:colOff>
      <xdr:row>3</xdr:row>
      <xdr:rowOff>64358</xdr:rowOff>
    </xdr:from>
    <xdr:to>
      <xdr:col>15</xdr:col>
      <xdr:colOff>38826</xdr:colOff>
      <xdr:row>208</xdr:row>
      <xdr:rowOff>41703</xdr:rowOff>
    </xdr:to>
    <xdr:pic>
      <xdr:nvPicPr>
        <xdr:cNvPr id="2" name="Afbeelding 1">
          <a:extLst>
            <a:ext uri="{FF2B5EF4-FFF2-40B4-BE49-F238E27FC236}">
              <a16:creationId xmlns:a16="http://schemas.microsoft.com/office/drawing/2014/main" id="{735C6BEF-E536-6AD5-DD81-6B84F64668DF}"/>
            </a:ext>
          </a:extLst>
        </xdr:cNvPr>
        <xdr:cNvPicPr>
          <a:picLocks noChangeAspect="1"/>
        </xdr:cNvPicPr>
      </xdr:nvPicPr>
      <xdr:blipFill>
        <a:blip xmlns:r="http://schemas.openxmlformats.org/officeDocument/2006/relationships" r:embed="rId1"/>
        <a:stretch>
          <a:fillRect/>
        </a:stretch>
      </xdr:blipFill>
      <xdr:spPr>
        <a:xfrm>
          <a:off x="10181453" y="592094"/>
          <a:ext cx="3353268" cy="32319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laamseoverheid.sharepoint.com/sites/Zg-werkplaatsen/WP20230005/Gedeelde%20%20documenten/09.%20aanscherpen%20dagprijscontrole/presentatie_prijsaanvragen,/Kopie%20van%20Prijzenformulier_infrastructuur_20230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gemene instructies"/>
      <sheetName val="Formulier met forfait"/>
      <sheetName val="Formulier zonder forfait"/>
      <sheetName val="Formulier andere - wzc - marge"/>
      <sheetName val="Formulier andere - met GB-GAW"/>
      <sheetName val="Formulier andere-zonder GB-GAW"/>
      <sheetName val="Parameters"/>
      <sheetName val="AGI"/>
      <sheetName val="Cijfervoorbeeld"/>
      <sheetName val="Uitleg"/>
      <sheetName val="Bijlage supplement"/>
      <sheetName val="Checklist overheidstussenkomst"/>
      <sheetName val="OLO+120bp"/>
    </sheetNames>
    <sheetDataSet>
      <sheetData sheetId="0"/>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Zorg-en-gezondheid-finaal-2014">
      <a:dk1>
        <a:srgbClr val="2F2F2F"/>
      </a:dk1>
      <a:lt1>
        <a:sysClr val="window" lastClr="FFFFFF"/>
      </a:lt1>
      <a:dk2>
        <a:srgbClr val="147178"/>
      </a:dk2>
      <a:lt2>
        <a:srgbClr val="E4E4E4"/>
      </a:lt2>
      <a:accent1>
        <a:srgbClr val="2B979D"/>
      </a:accent1>
      <a:accent2>
        <a:srgbClr val="A3CC00"/>
      </a:accent2>
      <a:accent3>
        <a:srgbClr val="219FD5"/>
      </a:accent3>
      <a:accent4>
        <a:srgbClr val="6F8B00"/>
      </a:accent4>
      <a:accent5>
        <a:srgbClr val="1B7EA9"/>
      </a:accent5>
      <a:accent6>
        <a:srgbClr val="39B9BE"/>
      </a:accent6>
      <a:hlink>
        <a:srgbClr val="2F2F2F"/>
      </a:hlink>
      <a:folHlink>
        <a:srgbClr val="2F2F2F"/>
      </a:folHlink>
    </a:clrScheme>
    <a:fontScheme name="Composite">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naam@extensie.b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zorg-en-gezondheid.be/procedures/infrastructuurforfait" TargetMode="External"/><Relationship Id="rId2" Type="http://schemas.openxmlformats.org/officeDocument/2006/relationships/hyperlink" Target="https://bestat.statbel.fgov.be/bestat/crosstable.xhtml?view=ea07572b-7fc4-40f7-af62-d20b70941e86" TargetMode="External"/><Relationship Id="rId1" Type="http://schemas.openxmlformats.org/officeDocument/2006/relationships/hyperlink" Target="https://stat.nbb.be/Index.aspx?DataSetCode=IROLOBE2"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stat.nbb.be/Index.aspx?DataSetCode=IROLOBE2" TargetMode="External"/><Relationship Id="rId2" Type="http://schemas.openxmlformats.org/officeDocument/2006/relationships/hyperlink" Target="https://stat.nbb.be/" TargetMode="External"/><Relationship Id="rId1" Type="http://schemas.openxmlformats.org/officeDocument/2006/relationships/hyperlink" Target="https://stat.nbb.be/OECDStat_Metadata/ShowMetadata.ashx?Dataset=IROLOYLD&amp;ShowOnWeb=true&amp;Lang=en"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FC000"/>
  </sheetPr>
  <dimension ref="A1:L201"/>
  <sheetViews>
    <sheetView showGridLines="0" topLeftCell="A83" workbookViewId="0">
      <selection activeCell="B112" sqref="B112"/>
    </sheetView>
  </sheetViews>
  <sheetFormatPr defaultRowHeight="14.4" x14ac:dyDescent="0.3"/>
  <cols>
    <col min="1" max="1" width="13.33203125" customWidth="1"/>
    <col min="2" max="2" width="46.77734375" customWidth="1"/>
    <col min="3" max="3" width="45.44140625" customWidth="1"/>
    <col min="4" max="4" width="20.5546875" customWidth="1"/>
    <col min="5" max="5" width="16" customWidth="1"/>
    <col min="7" max="7" width="15.88671875" bestFit="1" customWidth="1"/>
    <col min="9" max="9" width="15.88671875" bestFit="1" customWidth="1"/>
  </cols>
  <sheetData>
    <row r="1" spans="1:7" ht="29.4" customHeight="1" thickBot="1" x14ac:dyDescent="0.35">
      <c r="A1" s="550" t="s">
        <v>4</v>
      </c>
      <c r="B1" s="551"/>
      <c r="C1" s="551"/>
      <c r="D1" s="552"/>
    </row>
    <row r="3" spans="1:7" x14ac:dyDescent="0.3">
      <c r="A3" s="169" t="s">
        <v>5</v>
      </c>
      <c r="B3" t="s">
        <v>1725</v>
      </c>
    </row>
    <row r="4" spans="1:7" x14ac:dyDescent="0.3">
      <c r="B4" t="s">
        <v>1726</v>
      </c>
    </row>
    <row r="5" spans="1:7" x14ac:dyDescent="0.3">
      <c r="B5" t="s">
        <v>1727</v>
      </c>
    </row>
    <row r="7" spans="1:7" x14ac:dyDescent="0.3">
      <c r="A7" s="169" t="s">
        <v>6</v>
      </c>
    </row>
    <row r="8" spans="1:7" s="1" customFormat="1" x14ac:dyDescent="0.3">
      <c r="A8" s="1">
        <v>1</v>
      </c>
      <c r="B8" s="1" t="s">
        <v>7</v>
      </c>
    </row>
    <row r="10" spans="1:7" x14ac:dyDescent="0.3">
      <c r="B10" s="92" t="s">
        <v>1603</v>
      </c>
    </row>
    <row r="11" spans="1:7" x14ac:dyDescent="0.3">
      <c r="B11" s="37" t="s">
        <v>1621</v>
      </c>
    </row>
    <row r="12" spans="1:7" x14ac:dyDescent="0.3">
      <c r="B12" s="37" t="s">
        <v>1734</v>
      </c>
    </row>
    <row r="13" spans="1:7" x14ac:dyDescent="0.3">
      <c r="A13" s="1"/>
      <c r="B13" s="37" t="s">
        <v>1622</v>
      </c>
    </row>
    <row r="14" spans="1:7" x14ac:dyDescent="0.3">
      <c r="A14" s="1"/>
      <c r="B14" s="37"/>
    </row>
    <row r="15" spans="1:7" x14ac:dyDescent="0.3">
      <c r="A15" s="1"/>
      <c r="B15" s="92" t="s">
        <v>8</v>
      </c>
      <c r="G15" s="92" t="s">
        <v>9</v>
      </c>
    </row>
    <row r="16" spans="1:7" x14ac:dyDescent="0.3">
      <c r="A16" s="1"/>
      <c r="B16" s="37" t="s">
        <v>1623</v>
      </c>
      <c r="G16" s="92" t="s">
        <v>1602</v>
      </c>
    </row>
    <row r="17" spans="1:7" x14ac:dyDescent="0.3">
      <c r="A17" s="69"/>
      <c r="B17" s="37" t="s">
        <v>1624</v>
      </c>
      <c r="G17" t="s">
        <v>10</v>
      </c>
    </row>
    <row r="18" spans="1:7" x14ac:dyDescent="0.3">
      <c r="A18" s="69"/>
      <c r="B18" s="37" t="s">
        <v>1625</v>
      </c>
      <c r="G18" t="s">
        <v>1589</v>
      </c>
    </row>
    <row r="19" spans="1:7" x14ac:dyDescent="0.3">
      <c r="A19" s="1"/>
      <c r="B19" s="37" t="s">
        <v>1626</v>
      </c>
      <c r="G19" t="s">
        <v>1589</v>
      </c>
    </row>
    <row r="20" spans="1:7" x14ac:dyDescent="0.3">
      <c r="A20" s="1"/>
      <c r="B20" s="37" t="s">
        <v>1627</v>
      </c>
      <c r="G20" t="s">
        <v>1589</v>
      </c>
    </row>
    <row r="21" spans="1:7" x14ac:dyDescent="0.3">
      <c r="A21" s="1"/>
    </row>
    <row r="22" spans="1:7" s="1" customFormat="1" x14ac:dyDescent="0.3">
      <c r="A22" s="1">
        <v>2</v>
      </c>
      <c r="B22" s="1" t="s">
        <v>1607</v>
      </c>
    </row>
    <row r="23" spans="1:7" s="1" customFormat="1" x14ac:dyDescent="0.3"/>
    <row r="24" spans="1:7" x14ac:dyDescent="0.3">
      <c r="A24" s="1"/>
      <c r="B24" s="92" t="s">
        <v>11</v>
      </c>
    </row>
    <row r="25" spans="1:7" x14ac:dyDescent="0.3">
      <c r="A25" s="1"/>
      <c r="B25" t="s">
        <v>12</v>
      </c>
    </row>
    <row r="26" spans="1:7" x14ac:dyDescent="0.3">
      <c r="A26" s="1"/>
      <c r="B26" t="s">
        <v>1728</v>
      </c>
    </row>
    <row r="27" spans="1:7" x14ac:dyDescent="0.3">
      <c r="A27" s="1"/>
    </row>
    <row r="28" spans="1:7" x14ac:dyDescent="0.3">
      <c r="A28" s="1"/>
      <c r="B28" s="92" t="s">
        <v>13</v>
      </c>
    </row>
    <row r="29" spans="1:7" x14ac:dyDescent="0.3">
      <c r="A29" s="1"/>
      <c r="B29" t="s">
        <v>14</v>
      </c>
    </row>
    <row r="30" spans="1:7" x14ac:dyDescent="0.3">
      <c r="A30" s="1"/>
      <c r="B30" t="s">
        <v>1628</v>
      </c>
    </row>
    <row r="31" spans="1:7" x14ac:dyDescent="0.3">
      <c r="A31" s="1"/>
      <c r="B31" t="s">
        <v>1720</v>
      </c>
    </row>
    <row r="32" spans="1:7" x14ac:dyDescent="0.3">
      <c r="A32" s="1"/>
    </row>
    <row r="33" spans="1:12" x14ac:dyDescent="0.3">
      <c r="A33" s="1"/>
      <c r="B33" s="92" t="s">
        <v>15</v>
      </c>
    </row>
    <row r="34" spans="1:12" x14ac:dyDescent="0.3">
      <c r="A34" s="1"/>
      <c r="B34" t="s">
        <v>1604</v>
      </c>
    </row>
    <row r="35" spans="1:12" x14ac:dyDescent="0.3">
      <c r="A35" s="1"/>
      <c r="B35" t="s">
        <v>1590</v>
      </c>
    </row>
    <row r="36" spans="1:12" x14ac:dyDescent="0.3">
      <c r="A36" s="1"/>
      <c r="B36" t="s">
        <v>1605</v>
      </c>
    </row>
    <row r="37" spans="1:12" x14ac:dyDescent="0.3">
      <c r="A37" s="1"/>
    </row>
    <row r="38" spans="1:12" x14ac:dyDescent="0.3">
      <c r="A38" s="1"/>
      <c r="B38" s="92" t="s">
        <v>1606</v>
      </c>
    </row>
    <row r="39" spans="1:12" x14ac:dyDescent="0.3">
      <c r="A39" s="1"/>
      <c r="B39" t="s">
        <v>1629</v>
      </c>
    </row>
    <row r="40" spans="1:12" x14ac:dyDescent="0.3">
      <c r="A40" s="1"/>
      <c r="B40" t="s">
        <v>1608</v>
      </c>
    </row>
    <row r="41" spans="1:12" x14ac:dyDescent="0.3">
      <c r="A41" s="1"/>
      <c r="B41" t="s">
        <v>1722</v>
      </c>
    </row>
    <row r="42" spans="1:12" x14ac:dyDescent="0.3">
      <c r="A42" s="1"/>
    </row>
    <row r="43" spans="1:12" s="1" customFormat="1" x14ac:dyDescent="0.3">
      <c r="A43" s="1">
        <v>3</v>
      </c>
      <c r="B43" s="1" t="s">
        <v>16</v>
      </c>
    </row>
    <row r="44" spans="1:12" ht="15" thickBot="1" x14ac:dyDescent="0.35">
      <c r="A44" s="1"/>
    </row>
    <row r="45" spans="1:12" x14ac:dyDescent="0.3">
      <c r="A45" s="1"/>
      <c r="B45" s="201"/>
      <c r="C45" s="164"/>
      <c r="D45" s="164"/>
      <c r="E45" s="164"/>
      <c r="F45" s="164"/>
      <c r="G45" s="164"/>
      <c r="H45" s="164"/>
      <c r="I45" s="164"/>
      <c r="J45" s="202"/>
      <c r="K45" s="202"/>
      <c r="L45" s="203"/>
    </row>
    <row r="46" spans="1:12" ht="15" thickBot="1" x14ac:dyDescent="0.35">
      <c r="A46" s="1"/>
      <c r="B46" s="204"/>
      <c r="J46" s="42"/>
      <c r="K46" s="42"/>
      <c r="L46" s="205"/>
    </row>
    <row r="47" spans="1:12" x14ac:dyDescent="0.3">
      <c r="A47" s="1"/>
      <c r="B47" s="204"/>
      <c r="E47" s="542" t="s">
        <v>1592</v>
      </c>
      <c r="J47" s="42"/>
      <c r="K47" s="42"/>
      <c r="L47" s="205"/>
    </row>
    <row r="48" spans="1:12" x14ac:dyDescent="0.3">
      <c r="A48" s="1"/>
      <c r="B48" s="204"/>
      <c r="E48" s="543"/>
      <c r="J48" s="42"/>
      <c r="K48" s="42"/>
      <c r="L48" s="205"/>
    </row>
    <row r="49" spans="1:12" ht="15" thickBot="1" x14ac:dyDescent="0.35">
      <c r="A49" s="1"/>
      <c r="B49" s="204"/>
      <c r="D49" s="86" t="s">
        <v>1</v>
      </c>
      <c r="E49" s="544"/>
      <c r="J49" s="42"/>
      <c r="K49" s="42"/>
      <c r="L49" s="205"/>
    </row>
    <row r="50" spans="1:12" x14ac:dyDescent="0.3">
      <c r="A50" s="1"/>
      <c r="B50" s="204"/>
      <c r="C50" s="553" t="s">
        <v>1614</v>
      </c>
      <c r="I50" s="524" t="s">
        <v>1594</v>
      </c>
      <c r="J50" s="525"/>
      <c r="K50" s="526"/>
      <c r="L50" s="205"/>
    </row>
    <row r="51" spans="1:12" ht="15" thickBot="1" x14ac:dyDescent="0.35">
      <c r="A51" s="1"/>
      <c r="B51" s="204"/>
      <c r="C51" s="554"/>
      <c r="H51" s="86" t="s">
        <v>1</v>
      </c>
      <c r="I51" s="527"/>
      <c r="J51" s="528"/>
      <c r="K51" s="529"/>
      <c r="L51" s="205"/>
    </row>
    <row r="52" spans="1:12" ht="15" thickBot="1" x14ac:dyDescent="0.35">
      <c r="A52" s="1"/>
      <c r="B52" s="204"/>
      <c r="C52" s="554"/>
      <c r="J52" s="42"/>
      <c r="K52" s="42"/>
      <c r="L52" s="205"/>
    </row>
    <row r="53" spans="1:12" ht="55.8" customHeight="1" thickBot="1" x14ac:dyDescent="0.35">
      <c r="A53" s="1"/>
      <c r="B53" s="204"/>
      <c r="C53" s="555"/>
      <c r="D53" s="86" t="s">
        <v>3</v>
      </c>
      <c r="E53" s="530" t="s">
        <v>1593</v>
      </c>
      <c r="F53" s="531"/>
      <c r="G53" s="532"/>
      <c r="J53" s="42"/>
      <c r="K53" s="42"/>
      <c r="L53" s="205"/>
    </row>
    <row r="54" spans="1:12" ht="26.55" customHeight="1" x14ac:dyDescent="0.3">
      <c r="A54" s="1"/>
      <c r="B54" s="204"/>
      <c r="E54" s="533"/>
      <c r="F54" s="534"/>
      <c r="G54" s="535"/>
      <c r="I54" s="530" t="s">
        <v>1595</v>
      </c>
      <c r="J54" s="525"/>
      <c r="K54" s="526"/>
      <c r="L54" s="205"/>
    </row>
    <row r="55" spans="1:12" ht="15" thickBot="1" x14ac:dyDescent="0.35">
      <c r="A55" s="1"/>
      <c r="B55" s="204"/>
      <c r="E55" s="536"/>
      <c r="F55" s="537"/>
      <c r="G55" s="538"/>
      <c r="H55" s="86" t="s">
        <v>3</v>
      </c>
      <c r="I55" s="539"/>
      <c r="J55" s="540"/>
      <c r="K55" s="541"/>
      <c r="L55" s="205"/>
    </row>
    <row r="56" spans="1:12" ht="15" thickBot="1" x14ac:dyDescent="0.35">
      <c r="A56" s="1"/>
      <c r="B56" s="204"/>
      <c r="I56" s="527"/>
      <c r="J56" s="528"/>
      <c r="K56" s="529"/>
      <c r="L56" s="205"/>
    </row>
    <row r="57" spans="1:12" ht="13.95" x14ac:dyDescent="0.3">
      <c r="A57" s="1"/>
      <c r="B57" s="204"/>
      <c r="J57" s="42"/>
      <c r="K57" s="42"/>
      <c r="L57" s="205"/>
    </row>
    <row r="58" spans="1:12" ht="14.55" thickBot="1" x14ac:dyDescent="0.35">
      <c r="A58" s="1"/>
      <c r="B58" s="206"/>
      <c r="C58" s="167"/>
      <c r="D58" s="167"/>
      <c r="E58" s="167"/>
      <c r="F58" s="167"/>
      <c r="G58" s="167"/>
      <c r="H58" s="167"/>
      <c r="I58" s="167"/>
      <c r="J58" s="199"/>
      <c r="K58" s="199"/>
      <c r="L58" s="200"/>
    </row>
    <row r="59" spans="1:12" ht="13.95" x14ac:dyDescent="0.3">
      <c r="A59" s="1"/>
      <c r="I59" s="42"/>
      <c r="J59" s="42"/>
      <c r="K59" s="42"/>
    </row>
    <row r="60" spans="1:12" ht="13.95" x14ac:dyDescent="0.3">
      <c r="A60" s="1"/>
    </row>
    <row r="61" spans="1:12" s="1" customFormat="1" ht="13.95" x14ac:dyDescent="0.3">
      <c r="A61" s="1">
        <v>4</v>
      </c>
      <c r="B61" s="1" t="s">
        <v>1609</v>
      </c>
    </row>
    <row r="62" spans="1:12" ht="13.95" x14ac:dyDescent="0.3">
      <c r="A62" s="1"/>
    </row>
    <row r="63" spans="1:12" ht="13.95" x14ac:dyDescent="0.3">
      <c r="A63" s="1"/>
      <c r="B63" t="s">
        <v>1630</v>
      </c>
    </row>
    <row r="64" spans="1:12" ht="13.95" x14ac:dyDescent="0.3">
      <c r="A64" s="1"/>
    </row>
    <row r="65" spans="1:5" ht="13.95" x14ac:dyDescent="0.3">
      <c r="A65" s="1"/>
      <c r="B65" s="214" t="s">
        <v>1615</v>
      </c>
    </row>
    <row r="66" spans="1:5" ht="13.95" x14ac:dyDescent="0.3">
      <c r="A66" s="1"/>
      <c r="B66" t="s">
        <v>1721</v>
      </c>
    </row>
    <row r="67" spans="1:5" ht="13.95" x14ac:dyDescent="0.3">
      <c r="A67" s="1"/>
      <c r="B67" t="s">
        <v>1612</v>
      </c>
    </row>
    <row r="68" spans="1:5" ht="13.95" x14ac:dyDescent="0.3">
      <c r="A68" s="1"/>
      <c r="B68" t="s">
        <v>1687</v>
      </c>
    </row>
    <row r="69" spans="1:5" x14ac:dyDescent="0.3">
      <c r="A69" s="1"/>
      <c r="B69" t="s">
        <v>1688</v>
      </c>
    </row>
    <row r="70" spans="1:5" x14ac:dyDescent="0.3">
      <c r="A70" s="1"/>
    </row>
    <row r="71" spans="1:5" x14ac:dyDescent="0.3">
      <c r="A71" s="1"/>
      <c r="B71" s="92" t="s">
        <v>1610</v>
      </c>
    </row>
    <row r="72" spans="1:5" x14ac:dyDescent="0.3">
      <c r="A72" s="1"/>
      <c r="B72" t="s">
        <v>1631</v>
      </c>
    </row>
    <row r="73" spans="1:5" x14ac:dyDescent="0.3">
      <c r="A73" s="1"/>
      <c r="B73" t="s">
        <v>1611</v>
      </c>
    </row>
    <row r="74" spans="1:5" x14ac:dyDescent="0.3">
      <c r="A74" s="1"/>
      <c r="B74" t="s">
        <v>1735</v>
      </c>
    </row>
    <row r="75" spans="1:5" x14ac:dyDescent="0.3">
      <c r="A75" s="1"/>
      <c r="E75" s="16"/>
    </row>
    <row r="76" spans="1:5" x14ac:dyDescent="0.3">
      <c r="A76" s="1"/>
      <c r="B76" t="s">
        <v>1723</v>
      </c>
      <c r="E76" s="16"/>
    </row>
    <row r="77" spans="1:5" x14ac:dyDescent="0.3">
      <c r="A77" s="1"/>
      <c r="E77" s="16"/>
    </row>
    <row r="78" spans="1:5" x14ac:dyDescent="0.3">
      <c r="A78" s="1"/>
      <c r="B78" s="214" t="s">
        <v>1616</v>
      </c>
      <c r="E78" s="16"/>
    </row>
    <row r="79" spans="1:5" x14ac:dyDescent="0.3">
      <c r="A79" s="1"/>
      <c r="B79" t="s">
        <v>1732</v>
      </c>
      <c r="E79" s="16"/>
    </row>
    <row r="80" spans="1:5" x14ac:dyDescent="0.3">
      <c r="A80" s="1"/>
      <c r="B80" t="s">
        <v>1613</v>
      </c>
      <c r="E80" s="16"/>
    </row>
    <row r="81" spans="1:5" x14ac:dyDescent="0.3">
      <c r="A81" s="1"/>
      <c r="E81" s="16"/>
    </row>
    <row r="82" spans="1:5" x14ac:dyDescent="0.3">
      <c r="A82" s="1"/>
      <c r="B82" s="37" t="s">
        <v>1729</v>
      </c>
      <c r="E82" s="16"/>
    </row>
    <row r="83" spans="1:5" x14ac:dyDescent="0.3">
      <c r="A83" s="1"/>
      <c r="B83" s="37" t="s">
        <v>1730</v>
      </c>
      <c r="E83" s="16"/>
    </row>
    <row r="84" spans="1:5" x14ac:dyDescent="0.3">
      <c r="A84" s="1"/>
      <c r="B84" s="37"/>
      <c r="E84" s="16"/>
    </row>
    <row r="85" spans="1:5" x14ac:dyDescent="0.3">
      <c r="A85" s="1"/>
      <c r="B85" s="37" t="s">
        <v>1731</v>
      </c>
      <c r="E85" s="16"/>
    </row>
    <row r="86" spans="1:5" x14ac:dyDescent="0.3">
      <c r="A86" s="1"/>
      <c r="E86" s="16"/>
    </row>
    <row r="87" spans="1:5" x14ac:dyDescent="0.3">
      <c r="A87" s="1"/>
      <c r="B87" s="214" t="s">
        <v>1618</v>
      </c>
      <c r="E87" s="16"/>
    </row>
    <row r="88" spans="1:5" x14ac:dyDescent="0.3">
      <c r="A88" s="1"/>
      <c r="B88" t="s">
        <v>1617</v>
      </c>
      <c r="E88" s="16"/>
    </row>
    <row r="89" spans="1:5" x14ac:dyDescent="0.3">
      <c r="A89" s="1"/>
      <c r="B89" t="s">
        <v>1733</v>
      </c>
      <c r="E89" s="16"/>
    </row>
    <row r="90" spans="1:5" x14ac:dyDescent="0.3">
      <c r="A90" s="1"/>
      <c r="E90" s="16"/>
    </row>
    <row r="91" spans="1:5" x14ac:dyDescent="0.3">
      <c r="A91" s="1"/>
      <c r="B91" s="213" t="s">
        <v>1619</v>
      </c>
      <c r="E91" s="16"/>
    </row>
    <row r="92" spans="1:5" x14ac:dyDescent="0.3">
      <c r="A92" s="1"/>
      <c r="B92" t="s">
        <v>1620</v>
      </c>
      <c r="E92" s="16"/>
    </row>
    <row r="93" spans="1:5" x14ac:dyDescent="0.3">
      <c r="A93" s="1"/>
      <c r="B93" t="s">
        <v>1736</v>
      </c>
      <c r="E93" s="16"/>
    </row>
    <row r="94" spans="1:5" x14ac:dyDescent="0.3">
      <c r="A94" s="1"/>
      <c r="E94" s="16"/>
    </row>
    <row r="95" spans="1:5" x14ac:dyDescent="0.3">
      <c r="A95" s="171" t="s">
        <v>18</v>
      </c>
      <c r="B95" s="131"/>
      <c r="E95" s="16"/>
    </row>
    <row r="96" spans="1:5" ht="15" thickBot="1" x14ac:dyDescent="0.35">
      <c r="A96" s="1"/>
      <c r="E96" s="16"/>
    </row>
    <row r="97" spans="1:4" x14ac:dyDescent="0.3">
      <c r="A97" s="1"/>
      <c r="B97" s="215"/>
      <c r="C97" s="217" t="s">
        <v>19</v>
      </c>
      <c r="D97" s="216" t="s">
        <v>20</v>
      </c>
    </row>
    <row r="98" spans="1:4" x14ac:dyDescent="0.3">
      <c r="A98" s="1"/>
      <c r="B98" s="556" t="s">
        <v>1724</v>
      </c>
      <c r="C98" s="548" t="s">
        <v>1632</v>
      </c>
      <c r="D98" s="545" t="s">
        <v>21</v>
      </c>
    </row>
    <row r="99" spans="1:4" ht="29.1" customHeight="1" x14ac:dyDescent="0.3">
      <c r="A99" s="1"/>
      <c r="B99" s="557"/>
      <c r="C99" s="549"/>
      <c r="D99" s="562"/>
    </row>
    <row r="100" spans="1:4" x14ac:dyDescent="0.3">
      <c r="A100" s="1"/>
      <c r="B100" s="558"/>
      <c r="C100" s="560"/>
      <c r="D100" s="546"/>
    </row>
    <row r="101" spans="1:4" ht="14.4" customHeight="1" x14ac:dyDescent="0.3">
      <c r="A101" s="1"/>
      <c r="B101" s="556" t="s">
        <v>22</v>
      </c>
      <c r="C101" s="548" t="s">
        <v>23</v>
      </c>
      <c r="D101" s="545" t="s">
        <v>1633</v>
      </c>
    </row>
    <row r="102" spans="1:4" ht="39" customHeight="1" x14ac:dyDescent="0.3">
      <c r="A102" s="1"/>
      <c r="B102" s="557"/>
      <c r="C102" s="549"/>
      <c r="D102" s="562"/>
    </row>
    <row r="103" spans="1:4" ht="14.4" customHeight="1" x14ac:dyDescent="0.3">
      <c r="A103" s="1"/>
      <c r="B103" s="556" t="s">
        <v>1577</v>
      </c>
      <c r="C103" s="548" t="s">
        <v>24</v>
      </c>
      <c r="D103" s="545" t="s">
        <v>25</v>
      </c>
    </row>
    <row r="104" spans="1:4" ht="46.2" customHeight="1" x14ac:dyDescent="0.3">
      <c r="A104" s="1"/>
      <c r="B104" s="557"/>
      <c r="C104" s="549"/>
      <c r="D104" s="546"/>
    </row>
    <row r="105" spans="1:4" x14ac:dyDescent="0.3">
      <c r="A105" s="1"/>
      <c r="B105" s="556" t="s">
        <v>26</v>
      </c>
      <c r="C105" s="548"/>
      <c r="D105" s="545" t="s">
        <v>27</v>
      </c>
    </row>
    <row r="106" spans="1:4" ht="15" thickBot="1" x14ac:dyDescent="0.35">
      <c r="A106" s="1"/>
      <c r="B106" s="559"/>
      <c r="C106" s="561"/>
      <c r="D106" s="547"/>
    </row>
    <row r="107" spans="1:4" x14ac:dyDescent="0.3">
      <c r="D107" s="44"/>
    </row>
    <row r="108" spans="1:4" x14ac:dyDescent="0.3">
      <c r="D108" s="13"/>
    </row>
    <row r="201" spans="1:1" x14ac:dyDescent="0.3">
      <c r="A201" s="37" t="s">
        <v>1576</v>
      </c>
    </row>
  </sheetData>
  <sheetProtection algorithmName="SHA-512" hashValue="JEvNb5d+jAyuDfmeSqeHYdkcpg9w2YCjLBh+58v+yf/pmPshV4s9Z1hGbSmd1suluoityZZMrSvOOXOocQQxMQ==" saltValue="HHpNvG7q0IZnlkFcLtOGWw==" spinCount="100000" sheet="1" objects="1" scenarios="1"/>
  <mergeCells count="18">
    <mergeCell ref="D105:D106"/>
    <mergeCell ref="C101:C102"/>
    <mergeCell ref="C103:C104"/>
    <mergeCell ref="A1:D1"/>
    <mergeCell ref="C50:C53"/>
    <mergeCell ref="B98:B100"/>
    <mergeCell ref="B101:B102"/>
    <mergeCell ref="B103:B104"/>
    <mergeCell ref="B105:B106"/>
    <mergeCell ref="C98:C100"/>
    <mergeCell ref="C105:C106"/>
    <mergeCell ref="D98:D100"/>
    <mergeCell ref="D101:D102"/>
    <mergeCell ref="I50:K51"/>
    <mergeCell ref="E53:G55"/>
    <mergeCell ref="I54:K56"/>
    <mergeCell ref="E47:E49"/>
    <mergeCell ref="D103:D104"/>
  </mergeCells>
  <hyperlinks>
    <hyperlink ref="D98" location="generiek" display="generieke output" xr:uid="{F2859E87-FBA9-480C-BD66-377F25EB6D33}"/>
    <hyperlink ref="D103" location="controle" display="controles" xr:uid="{DB926D10-B156-40FE-9C46-CEF856A1DD23}"/>
    <hyperlink ref="D105" location="output" display="output" xr:uid="{AA9102E2-F493-443F-A524-D112E3681557}"/>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5">
    <tabColor rgb="FFFFC000"/>
  </sheetPr>
  <dimension ref="A1:U231"/>
  <sheetViews>
    <sheetView workbookViewId="0">
      <selection activeCell="W28" sqref="W28"/>
    </sheetView>
  </sheetViews>
  <sheetFormatPr defaultRowHeight="14.4" x14ac:dyDescent="0.3"/>
  <cols>
    <col min="11" max="11" width="30" bestFit="1" customWidth="1"/>
    <col min="12" max="12" width="15.109375" bestFit="1" customWidth="1"/>
  </cols>
  <sheetData>
    <row r="1" spans="1:21" ht="21.6" thickBot="1" x14ac:dyDescent="0.45">
      <c r="B1" s="1" t="s">
        <v>1560</v>
      </c>
      <c r="H1" s="1101" t="s">
        <v>1498</v>
      </c>
      <c r="I1" s="1102" t="s">
        <v>1498</v>
      </c>
      <c r="J1" s="1102"/>
      <c r="K1" s="84" t="s">
        <v>1561</v>
      </c>
      <c r="L1" s="84" t="s">
        <v>1562</v>
      </c>
      <c r="N1" t="s">
        <v>1185</v>
      </c>
    </row>
    <row r="2" spans="1:21" ht="21" x14ac:dyDescent="0.4">
      <c r="B2" s="1"/>
      <c r="H2" s="191"/>
      <c r="I2" s="191"/>
      <c r="J2" s="191"/>
      <c r="K2" s="192"/>
      <c r="L2" s="192"/>
    </row>
    <row r="3" spans="1:21" x14ac:dyDescent="0.3">
      <c r="A3" s="1" t="s">
        <v>1571</v>
      </c>
      <c r="B3" s="1"/>
      <c r="C3" s="1"/>
      <c r="D3" s="1"/>
    </row>
    <row r="4" spans="1:21" x14ac:dyDescent="0.3">
      <c r="B4" s="786" t="s">
        <v>1570</v>
      </c>
      <c r="C4" s="786"/>
      <c r="D4" s="786"/>
      <c r="E4" s="786"/>
      <c r="F4" s="786"/>
      <c r="G4" s="786"/>
      <c r="H4" s="786"/>
      <c r="I4" s="786"/>
      <c r="J4" s="786"/>
      <c r="K4" s="786"/>
      <c r="L4" s="786"/>
      <c r="M4" s="786"/>
      <c r="N4" s="786"/>
      <c r="O4" s="786"/>
      <c r="P4" s="786"/>
      <c r="Q4" s="786"/>
      <c r="R4" s="786"/>
      <c r="S4" s="786"/>
      <c r="T4" s="786"/>
      <c r="U4" s="786"/>
    </row>
    <row r="5" spans="1:21" x14ac:dyDescent="0.3">
      <c r="B5" s="786"/>
      <c r="C5" s="786"/>
      <c r="D5" s="786"/>
      <c r="E5" s="786"/>
      <c r="F5" s="786"/>
      <c r="G5" s="786"/>
      <c r="H5" s="786"/>
      <c r="I5" s="786"/>
      <c r="J5" s="786"/>
      <c r="K5" s="786"/>
      <c r="L5" s="786"/>
      <c r="M5" s="786"/>
      <c r="N5" s="786"/>
      <c r="O5" s="786"/>
      <c r="P5" s="786"/>
      <c r="Q5" s="786"/>
      <c r="R5" s="786"/>
      <c r="S5" s="786"/>
      <c r="T5" s="786"/>
      <c r="U5" s="786"/>
    </row>
    <row r="6" spans="1:21" x14ac:dyDescent="0.3">
      <c r="B6" s="786"/>
      <c r="C6" s="786"/>
      <c r="D6" s="786"/>
      <c r="E6" s="786"/>
      <c r="F6" s="786"/>
      <c r="G6" s="786"/>
      <c r="H6" s="786"/>
      <c r="I6" s="786"/>
      <c r="J6" s="786"/>
      <c r="K6" s="786"/>
      <c r="L6" s="786"/>
      <c r="M6" s="786"/>
      <c r="N6" s="786"/>
      <c r="O6" s="786"/>
      <c r="P6" s="786"/>
      <c r="Q6" s="786"/>
      <c r="R6" s="786"/>
      <c r="S6" s="786"/>
      <c r="T6" s="786"/>
      <c r="U6" s="786"/>
    </row>
    <row r="7" spans="1:21" x14ac:dyDescent="0.3">
      <c r="B7" s="786"/>
      <c r="C7" s="786"/>
      <c r="D7" s="786"/>
      <c r="E7" s="786"/>
      <c r="F7" s="786"/>
      <c r="G7" s="786"/>
      <c r="H7" s="786"/>
      <c r="I7" s="786"/>
      <c r="J7" s="786"/>
      <c r="K7" s="786"/>
      <c r="L7" s="786"/>
      <c r="M7" s="786"/>
      <c r="N7" s="786"/>
      <c r="O7" s="786"/>
      <c r="P7" s="786"/>
      <c r="Q7" s="786"/>
      <c r="R7" s="786"/>
      <c r="S7" s="786"/>
      <c r="T7" s="786"/>
      <c r="U7" s="786"/>
    </row>
    <row r="8" spans="1:21" x14ac:dyDescent="0.3">
      <c r="B8" s="786"/>
      <c r="C8" s="786"/>
      <c r="D8" s="786"/>
      <c r="E8" s="786"/>
      <c r="F8" s="786"/>
      <c r="G8" s="786"/>
      <c r="H8" s="786"/>
      <c r="I8" s="786"/>
      <c r="J8" s="786"/>
      <c r="K8" s="786"/>
      <c r="L8" s="786"/>
      <c r="M8" s="786"/>
      <c r="N8" s="786"/>
      <c r="O8" s="786"/>
      <c r="P8" s="786"/>
      <c r="Q8" s="786"/>
      <c r="R8" s="786"/>
      <c r="S8" s="786"/>
      <c r="T8" s="786"/>
      <c r="U8" s="786"/>
    </row>
    <row r="9" spans="1:21" x14ac:dyDescent="0.3">
      <c r="B9" s="786"/>
      <c r="C9" s="786"/>
      <c r="D9" s="786"/>
      <c r="E9" s="786"/>
      <c r="F9" s="786"/>
      <c r="G9" s="786"/>
      <c r="H9" s="786"/>
      <c r="I9" s="786"/>
      <c r="J9" s="786"/>
      <c r="K9" s="786"/>
      <c r="L9" s="786"/>
      <c r="M9" s="786"/>
      <c r="N9" s="786"/>
      <c r="O9" s="786"/>
      <c r="P9" s="786"/>
      <c r="Q9" s="786"/>
      <c r="R9" s="786"/>
      <c r="S9" s="786"/>
      <c r="T9" s="786"/>
      <c r="U9" s="786"/>
    </row>
    <row r="10" spans="1:21" x14ac:dyDescent="0.3">
      <c r="B10" s="786"/>
      <c r="C10" s="786"/>
      <c r="D10" s="786"/>
      <c r="E10" s="786"/>
      <c r="F10" s="786"/>
      <c r="G10" s="786"/>
      <c r="H10" s="786"/>
      <c r="I10" s="786"/>
      <c r="J10" s="786"/>
      <c r="K10" s="786"/>
      <c r="L10" s="786"/>
      <c r="M10" s="786"/>
      <c r="N10" s="786"/>
      <c r="O10" s="786"/>
      <c r="P10" s="786"/>
      <c r="Q10" s="786"/>
      <c r="R10" s="786"/>
      <c r="S10" s="786"/>
      <c r="T10" s="786"/>
      <c r="U10" s="786"/>
    </row>
    <row r="11" spans="1:21" x14ac:dyDescent="0.3">
      <c r="B11" s="786"/>
      <c r="C11" s="786"/>
      <c r="D11" s="786"/>
      <c r="E11" s="786"/>
      <c r="F11" s="786"/>
      <c r="G11" s="786"/>
      <c r="H11" s="786"/>
      <c r="I11" s="786"/>
      <c r="J11" s="786"/>
      <c r="K11" s="786"/>
      <c r="L11" s="786"/>
      <c r="M11" s="786"/>
      <c r="N11" s="786"/>
      <c r="O11" s="786"/>
      <c r="P11" s="786"/>
      <c r="Q11" s="786"/>
      <c r="R11" s="786"/>
      <c r="S11" s="786"/>
      <c r="T11" s="786"/>
      <c r="U11" s="786"/>
    </row>
    <row r="12" spans="1:21" x14ac:dyDescent="0.3">
      <c r="B12" s="786"/>
      <c r="C12" s="786"/>
      <c r="D12" s="786"/>
      <c r="E12" s="786"/>
      <c r="F12" s="786"/>
      <c r="G12" s="786"/>
      <c r="H12" s="786"/>
      <c r="I12" s="786"/>
      <c r="J12" s="786"/>
      <c r="K12" s="786"/>
      <c r="L12" s="786"/>
      <c r="M12" s="786"/>
      <c r="N12" s="786"/>
      <c r="O12" s="786"/>
      <c r="P12" s="786"/>
      <c r="Q12" s="786"/>
      <c r="R12" s="786"/>
      <c r="S12" s="786"/>
      <c r="T12" s="786"/>
      <c r="U12" s="786"/>
    </row>
    <row r="13" spans="1:21" x14ac:dyDescent="0.3">
      <c r="B13" s="786"/>
      <c r="C13" s="786"/>
      <c r="D13" s="786"/>
      <c r="E13" s="786"/>
      <c r="F13" s="786"/>
      <c r="G13" s="786"/>
      <c r="H13" s="786"/>
      <c r="I13" s="786"/>
      <c r="J13" s="786"/>
      <c r="K13" s="786"/>
      <c r="L13" s="786"/>
      <c r="M13" s="786"/>
      <c r="N13" s="786"/>
      <c r="O13" s="786"/>
      <c r="P13" s="786"/>
      <c r="Q13" s="786"/>
      <c r="R13" s="786"/>
      <c r="S13" s="786"/>
      <c r="T13" s="786"/>
      <c r="U13" s="786"/>
    </row>
    <row r="14" spans="1:21" x14ac:dyDescent="0.3">
      <c r="B14" s="786"/>
      <c r="C14" s="786"/>
      <c r="D14" s="786"/>
      <c r="E14" s="786"/>
      <c r="F14" s="786"/>
      <c r="G14" s="786"/>
      <c r="H14" s="786"/>
      <c r="I14" s="786"/>
      <c r="J14" s="786"/>
      <c r="K14" s="786"/>
      <c r="L14" s="786"/>
      <c r="M14" s="786"/>
      <c r="N14" s="786"/>
      <c r="O14" s="786"/>
      <c r="P14" s="786"/>
      <c r="Q14" s="786"/>
      <c r="R14" s="786"/>
      <c r="S14" s="786"/>
      <c r="T14" s="786"/>
      <c r="U14" s="786"/>
    </row>
    <row r="15" spans="1:21" x14ac:dyDescent="0.3">
      <c r="B15" s="786"/>
      <c r="C15" s="786"/>
      <c r="D15" s="786"/>
      <c r="E15" s="786"/>
      <c r="F15" s="786"/>
      <c r="G15" s="786"/>
      <c r="H15" s="786"/>
      <c r="I15" s="786"/>
      <c r="J15" s="786"/>
      <c r="K15" s="786"/>
      <c r="L15" s="786"/>
      <c r="M15" s="786"/>
      <c r="N15" s="786"/>
      <c r="O15" s="786"/>
      <c r="P15" s="786"/>
      <c r="Q15" s="786"/>
      <c r="R15" s="786"/>
      <c r="S15" s="786"/>
      <c r="T15" s="786"/>
      <c r="U15" s="786"/>
    </row>
    <row r="16" spans="1:21" x14ac:dyDescent="0.3">
      <c r="B16" s="786"/>
      <c r="C16" s="786"/>
      <c r="D16" s="786"/>
      <c r="E16" s="786"/>
      <c r="F16" s="786"/>
      <c r="G16" s="786"/>
      <c r="H16" s="786"/>
      <c r="I16" s="786"/>
      <c r="J16" s="786"/>
      <c r="K16" s="786"/>
      <c r="L16" s="786"/>
      <c r="M16" s="786"/>
      <c r="N16" s="786"/>
      <c r="O16" s="786"/>
      <c r="P16" s="786"/>
      <c r="Q16" s="786"/>
      <c r="R16" s="786"/>
      <c r="S16" s="786"/>
      <c r="T16" s="786"/>
      <c r="U16" s="786"/>
    </row>
    <row r="17" spans="2:21" x14ac:dyDescent="0.3">
      <c r="B17" s="786"/>
      <c r="C17" s="786"/>
      <c r="D17" s="786"/>
      <c r="E17" s="786"/>
      <c r="F17" s="786"/>
      <c r="G17" s="786"/>
      <c r="H17" s="786"/>
      <c r="I17" s="786"/>
      <c r="J17" s="786"/>
      <c r="K17" s="786"/>
      <c r="L17" s="786"/>
      <c r="M17" s="786"/>
      <c r="N17" s="786"/>
      <c r="O17" s="786"/>
      <c r="P17" s="786"/>
      <c r="Q17" s="786"/>
      <c r="R17" s="786"/>
      <c r="S17" s="786"/>
      <c r="T17" s="786"/>
      <c r="U17" s="786"/>
    </row>
    <row r="18" spans="2:21" x14ac:dyDescent="0.3">
      <c r="B18" s="786"/>
      <c r="C18" s="786"/>
      <c r="D18" s="786"/>
      <c r="E18" s="786"/>
      <c r="F18" s="786"/>
      <c r="G18" s="786"/>
      <c r="H18" s="786"/>
      <c r="I18" s="786"/>
      <c r="J18" s="786"/>
      <c r="K18" s="786"/>
      <c r="L18" s="786"/>
      <c r="M18" s="786"/>
      <c r="N18" s="786"/>
      <c r="O18" s="786"/>
      <c r="P18" s="786"/>
      <c r="Q18" s="786"/>
      <c r="R18" s="786"/>
      <c r="S18" s="786"/>
      <c r="T18" s="786"/>
      <c r="U18" s="786"/>
    </row>
    <row r="19" spans="2:21" x14ac:dyDescent="0.3">
      <c r="B19" s="786"/>
      <c r="C19" s="786"/>
      <c r="D19" s="786"/>
      <c r="E19" s="786"/>
      <c r="F19" s="786"/>
      <c r="G19" s="786"/>
      <c r="H19" s="786"/>
      <c r="I19" s="786"/>
      <c r="J19" s="786"/>
      <c r="K19" s="786"/>
      <c r="L19" s="786"/>
      <c r="M19" s="786"/>
      <c r="N19" s="786"/>
      <c r="O19" s="786"/>
      <c r="P19" s="786"/>
      <c r="Q19" s="786"/>
      <c r="R19" s="786"/>
      <c r="S19" s="786"/>
      <c r="T19" s="786"/>
      <c r="U19" s="786"/>
    </row>
    <row r="20" spans="2:21" x14ac:dyDescent="0.3">
      <c r="B20" s="786"/>
      <c r="C20" s="786"/>
      <c r="D20" s="786"/>
      <c r="E20" s="786"/>
      <c r="F20" s="786"/>
      <c r="G20" s="786"/>
      <c r="H20" s="786"/>
      <c r="I20" s="786"/>
      <c r="J20" s="786"/>
      <c r="K20" s="786"/>
      <c r="L20" s="786"/>
      <c r="M20" s="786"/>
      <c r="N20" s="786"/>
      <c r="O20" s="786"/>
      <c r="P20" s="786"/>
      <c r="Q20" s="786"/>
      <c r="R20" s="786"/>
      <c r="S20" s="786"/>
      <c r="T20" s="786"/>
      <c r="U20" s="786"/>
    </row>
    <row r="21" spans="2:21" x14ac:dyDescent="0.3">
      <c r="B21" s="786"/>
      <c r="C21" s="786"/>
      <c r="D21" s="786"/>
      <c r="E21" s="786"/>
      <c r="F21" s="786"/>
      <c r="G21" s="786"/>
      <c r="H21" s="786"/>
      <c r="I21" s="786"/>
      <c r="J21" s="786"/>
      <c r="K21" s="786"/>
      <c r="L21" s="786"/>
      <c r="M21" s="786"/>
      <c r="N21" s="786"/>
      <c r="O21" s="786"/>
      <c r="P21" s="786"/>
      <c r="Q21" s="786"/>
      <c r="R21" s="786"/>
      <c r="S21" s="786"/>
      <c r="T21" s="786"/>
      <c r="U21" s="786"/>
    </row>
    <row r="22" spans="2:21" x14ac:dyDescent="0.3">
      <c r="B22" s="786"/>
      <c r="C22" s="786"/>
      <c r="D22" s="786"/>
      <c r="E22" s="786"/>
      <c r="F22" s="786"/>
      <c r="G22" s="786"/>
      <c r="H22" s="786"/>
      <c r="I22" s="786"/>
      <c r="J22" s="786"/>
      <c r="K22" s="786"/>
      <c r="L22" s="786"/>
      <c r="M22" s="786"/>
      <c r="N22" s="786"/>
      <c r="O22" s="786"/>
      <c r="P22" s="786"/>
      <c r="Q22" s="786"/>
      <c r="R22" s="786"/>
      <c r="S22" s="786"/>
      <c r="T22" s="786"/>
      <c r="U22" s="786"/>
    </row>
    <row r="23" spans="2:21" x14ac:dyDescent="0.3">
      <c r="B23" s="786"/>
      <c r="C23" s="786"/>
      <c r="D23" s="786"/>
      <c r="E23" s="786"/>
      <c r="F23" s="786"/>
      <c r="G23" s="786"/>
      <c r="H23" s="786"/>
      <c r="I23" s="786"/>
      <c r="J23" s="786"/>
      <c r="K23" s="786"/>
      <c r="L23" s="786"/>
      <c r="M23" s="786"/>
      <c r="N23" s="786"/>
      <c r="O23" s="786"/>
      <c r="P23" s="786"/>
      <c r="Q23" s="786"/>
      <c r="R23" s="786"/>
      <c r="S23" s="786"/>
      <c r="T23" s="786"/>
      <c r="U23" s="786"/>
    </row>
    <row r="24" spans="2:21" x14ac:dyDescent="0.3">
      <c r="B24" s="786"/>
      <c r="C24" s="786"/>
      <c r="D24" s="786"/>
      <c r="E24" s="786"/>
      <c r="F24" s="786"/>
      <c r="G24" s="786"/>
      <c r="H24" s="786"/>
      <c r="I24" s="786"/>
      <c r="J24" s="786"/>
      <c r="K24" s="786"/>
      <c r="L24" s="786"/>
      <c r="M24" s="786"/>
      <c r="N24" s="786"/>
      <c r="O24" s="786"/>
      <c r="P24" s="786"/>
      <c r="Q24" s="786"/>
      <c r="R24" s="786"/>
      <c r="S24" s="786"/>
      <c r="T24" s="786"/>
      <c r="U24" s="786"/>
    </row>
    <row r="25" spans="2:21" x14ac:dyDescent="0.3">
      <c r="B25" s="786"/>
      <c r="C25" s="786"/>
      <c r="D25" s="786"/>
      <c r="E25" s="786"/>
      <c r="F25" s="786"/>
      <c r="G25" s="786"/>
      <c r="H25" s="786"/>
      <c r="I25" s="786"/>
      <c r="J25" s="786"/>
      <c r="K25" s="786"/>
      <c r="L25" s="786"/>
      <c r="M25" s="786"/>
      <c r="N25" s="786"/>
      <c r="O25" s="786"/>
      <c r="P25" s="786"/>
      <c r="Q25" s="786"/>
      <c r="R25" s="786"/>
      <c r="S25" s="786"/>
      <c r="T25" s="786"/>
      <c r="U25" s="786"/>
    </row>
    <row r="26" spans="2:21" x14ac:dyDescent="0.3">
      <c r="B26" s="786"/>
      <c r="C26" s="786"/>
      <c r="D26" s="786"/>
      <c r="E26" s="786"/>
      <c r="F26" s="786"/>
      <c r="G26" s="786"/>
      <c r="H26" s="786"/>
      <c r="I26" s="786"/>
      <c r="J26" s="786"/>
      <c r="K26" s="786"/>
      <c r="L26" s="786"/>
      <c r="M26" s="786"/>
      <c r="N26" s="786"/>
      <c r="O26" s="786"/>
      <c r="P26" s="786"/>
      <c r="Q26" s="786"/>
      <c r="R26" s="786"/>
      <c r="S26" s="786"/>
      <c r="T26" s="786"/>
      <c r="U26" s="786"/>
    </row>
    <row r="27" spans="2:21" x14ac:dyDescent="0.3">
      <c r="B27" s="786"/>
      <c r="C27" s="786"/>
      <c r="D27" s="786"/>
      <c r="E27" s="786"/>
      <c r="F27" s="786"/>
      <c r="G27" s="786"/>
      <c r="H27" s="786"/>
      <c r="I27" s="786"/>
      <c r="J27" s="786"/>
      <c r="K27" s="786"/>
      <c r="L27" s="786"/>
      <c r="M27" s="786"/>
      <c r="N27" s="786"/>
      <c r="O27" s="786"/>
      <c r="P27" s="786"/>
      <c r="Q27" s="786"/>
      <c r="R27" s="786"/>
      <c r="S27" s="786"/>
      <c r="T27" s="786"/>
      <c r="U27" s="786"/>
    </row>
    <row r="28" spans="2:21" x14ac:dyDescent="0.3">
      <c r="B28" s="786"/>
      <c r="C28" s="786"/>
      <c r="D28" s="786"/>
      <c r="E28" s="786"/>
      <c r="F28" s="786"/>
      <c r="G28" s="786"/>
      <c r="H28" s="786"/>
      <c r="I28" s="786"/>
      <c r="J28" s="786"/>
      <c r="K28" s="786"/>
      <c r="L28" s="786"/>
      <c r="M28" s="786"/>
      <c r="N28" s="786"/>
      <c r="O28" s="786"/>
      <c r="P28" s="786"/>
      <c r="Q28" s="786"/>
      <c r="R28" s="786"/>
      <c r="S28" s="786"/>
      <c r="T28" s="786"/>
      <c r="U28" s="786"/>
    </row>
    <row r="29" spans="2:21" x14ac:dyDescent="0.3">
      <c r="B29" s="786"/>
      <c r="C29" s="786"/>
      <c r="D29" s="786"/>
      <c r="E29" s="786"/>
      <c r="F29" s="786"/>
      <c r="G29" s="786"/>
      <c r="H29" s="786"/>
      <c r="I29" s="786"/>
      <c r="J29" s="786"/>
      <c r="K29" s="786"/>
      <c r="L29" s="786"/>
      <c r="M29" s="786"/>
      <c r="N29" s="786"/>
      <c r="O29" s="786"/>
      <c r="P29" s="786"/>
      <c r="Q29" s="786"/>
      <c r="R29" s="786"/>
      <c r="S29" s="786"/>
      <c r="T29" s="786"/>
      <c r="U29" s="786"/>
    </row>
    <row r="30" spans="2:21" x14ac:dyDescent="0.3">
      <c r="B30" s="786"/>
      <c r="C30" s="786"/>
      <c r="D30" s="786"/>
      <c r="E30" s="786"/>
      <c r="F30" s="786"/>
      <c r="G30" s="786"/>
      <c r="H30" s="786"/>
      <c r="I30" s="786"/>
      <c r="J30" s="786"/>
      <c r="K30" s="786"/>
      <c r="L30" s="786"/>
      <c r="M30" s="786"/>
      <c r="N30" s="786"/>
      <c r="O30" s="786"/>
      <c r="P30" s="786"/>
      <c r="Q30" s="786"/>
      <c r="R30" s="786"/>
      <c r="S30" s="786"/>
      <c r="T30" s="786"/>
      <c r="U30" s="786"/>
    </row>
    <row r="31" spans="2:21" x14ac:dyDescent="0.3">
      <c r="B31" s="786"/>
      <c r="C31" s="786"/>
      <c r="D31" s="786"/>
      <c r="E31" s="786"/>
      <c r="F31" s="786"/>
      <c r="G31" s="786"/>
      <c r="H31" s="786"/>
      <c r="I31" s="786"/>
      <c r="J31" s="786"/>
      <c r="K31" s="786"/>
      <c r="L31" s="786"/>
      <c r="M31" s="786"/>
      <c r="N31" s="786"/>
      <c r="O31" s="786"/>
      <c r="P31" s="786"/>
      <c r="Q31" s="786"/>
      <c r="R31" s="786"/>
      <c r="S31" s="786"/>
      <c r="T31" s="786"/>
      <c r="U31" s="786"/>
    </row>
    <row r="32" spans="2:21" x14ac:dyDescent="0.3">
      <c r="B32" s="786"/>
      <c r="C32" s="786"/>
      <c r="D32" s="786"/>
      <c r="E32" s="786"/>
      <c r="F32" s="786"/>
      <c r="G32" s="786"/>
      <c r="H32" s="786"/>
      <c r="I32" s="786"/>
      <c r="J32" s="786"/>
      <c r="K32" s="786"/>
      <c r="L32" s="786"/>
      <c r="M32" s="786"/>
      <c r="N32" s="786"/>
      <c r="O32" s="786"/>
      <c r="P32" s="786"/>
      <c r="Q32" s="786"/>
      <c r="R32" s="786"/>
      <c r="S32" s="786"/>
      <c r="T32" s="786"/>
      <c r="U32" s="786"/>
    </row>
    <row r="33" spans="1:21" x14ac:dyDescent="0.3">
      <c r="B33" s="786"/>
      <c r="C33" s="786"/>
      <c r="D33" s="786"/>
      <c r="E33" s="786"/>
      <c r="F33" s="786"/>
      <c r="G33" s="786"/>
      <c r="H33" s="786"/>
      <c r="I33" s="786"/>
      <c r="J33" s="786"/>
      <c r="K33" s="786"/>
      <c r="L33" s="786"/>
      <c r="M33" s="786"/>
      <c r="N33" s="786"/>
      <c r="O33" s="786"/>
      <c r="P33" s="786"/>
      <c r="Q33" s="786"/>
      <c r="R33" s="786"/>
      <c r="S33" s="786"/>
      <c r="T33" s="786"/>
      <c r="U33" s="786"/>
    </row>
    <row r="34" spans="1:21" x14ac:dyDescent="0.3">
      <c r="B34" s="786"/>
      <c r="C34" s="786"/>
      <c r="D34" s="786"/>
      <c r="E34" s="786"/>
      <c r="F34" s="786"/>
      <c r="G34" s="786"/>
      <c r="H34" s="786"/>
      <c r="I34" s="786"/>
      <c r="J34" s="786"/>
      <c r="K34" s="786"/>
      <c r="L34" s="786"/>
      <c r="M34" s="786"/>
      <c r="N34" s="786"/>
      <c r="O34" s="786"/>
      <c r="P34" s="786"/>
      <c r="Q34" s="786"/>
      <c r="R34" s="786"/>
      <c r="S34" s="786"/>
      <c r="T34" s="786"/>
      <c r="U34" s="786"/>
    </row>
    <row r="35" spans="1:21" x14ac:dyDescent="0.3">
      <c r="B35" s="786"/>
      <c r="C35" s="786"/>
      <c r="D35" s="786"/>
      <c r="E35" s="786"/>
      <c r="F35" s="786"/>
      <c r="G35" s="786"/>
      <c r="H35" s="786"/>
      <c r="I35" s="786"/>
      <c r="J35" s="786"/>
      <c r="K35" s="786"/>
      <c r="L35" s="786"/>
      <c r="M35" s="786"/>
      <c r="N35" s="786"/>
      <c r="O35" s="786"/>
      <c r="P35" s="786"/>
      <c r="Q35" s="786"/>
      <c r="R35" s="786"/>
      <c r="S35" s="786"/>
      <c r="T35" s="786"/>
      <c r="U35" s="786"/>
    </row>
    <row r="36" spans="1:21" x14ac:dyDescent="0.3">
      <c r="B36" s="786"/>
      <c r="C36" s="786"/>
      <c r="D36" s="786"/>
      <c r="E36" s="786"/>
      <c r="F36" s="786"/>
      <c r="G36" s="786"/>
      <c r="H36" s="786"/>
      <c r="I36" s="786"/>
      <c r="J36" s="786"/>
      <c r="K36" s="786"/>
      <c r="L36" s="786"/>
      <c r="M36" s="786"/>
      <c r="N36" s="786"/>
      <c r="O36" s="786"/>
      <c r="P36" s="786"/>
      <c r="Q36" s="786"/>
      <c r="R36" s="786"/>
      <c r="S36" s="786"/>
      <c r="T36" s="786"/>
      <c r="U36" s="786"/>
    </row>
    <row r="37" spans="1:21" x14ac:dyDescent="0.3">
      <c r="B37" s="786"/>
      <c r="C37" s="786"/>
      <c r="D37" s="786"/>
      <c r="E37" s="786"/>
      <c r="F37" s="786"/>
      <c r="G37" s="786"/>
      <c r="H37" s="786"/>
      <c r="I37" s="786"/>
      <c r="J37" s="786"/>
      <c r="K37" s="786"/>
      <c r="L37" s="786"/>
      <c r="M37" s="786"/>
      <c r="N37" s="786"/>
      <c r="O37" s="786"/>
      <c r="P37" s="786"/>
      <c r="Q37" s="786"/>
      <c r="R37" s="786"/>
      <c r="S37" s="786"/>
      <c r="T37" s="786"/>
      <c r="U37" s="786"/>
    </row>
    <row r="39" spans="1:21" x14ac:dyDescent="0.3">
      <c r="A39" s="1" t="s">
        <v>1572</v>
      </c>
    </row>
    <row r="41" spans="1:21" x14ac:dyDescent="0.3">
      <c r="B41" t="s">
        <v>1573</v>
      </c>
    </row>
    <row r="42" spans="1:21" x14ac:dyDescent="0.3">
      <c r="B42" t="s">
        <v>1574</v>
      </c>
    </row>
    <row r="43" spans="1:21" x14ac:dyDescent="0.3">
      <c r="B43" t="s">
        <v>1575</v>
      </c>
    </row>
    <row r="209" spans="8:8" ht="144" x14ac:dyDescent="0.3">
      <c r="H209" s="81" t="s">
        <v>1321</v>
      </c>
    </row>
    <row r="231" spans="8:8" x14ac:dyDescent="0.3">
      <c r="H231">
        <f>MIN(IF(F231&lt;$F$39,1.15*$F$39,1.15*F231),G231)</f>
        <v>0</v>
      </c>
    </row>
  </sheetData>
  <sheetProtection algorithmName="SHA-512" hashValue="X1iq+Ofm7PIEYnOdmGFEUYeZJSZqAi4UJG1LesFAwztHHSqhip0yOdbcMnVwdHZDuPqP3Qpjx89w4ohhXB/1PQ==" saltValue="0sTZ56sbJuTll5trac7O6g==" spinCount="100000" sheet="1" objects="1" scenarios="1"/>
  <mergeCells count="2">
    <mergeCell ref="B4:U37"/>
    <mergeCell ref="H1:J1"/>
  </mergeCells>
  <hyperlinks>
    <hyperlink ref="K1" location="'Algemene richtlijnen'!A1" display="Terug naar algemene instructies" xr:uid="{00000000-0004-0000-0500-000000000000}"/>
    <hyperlink ref="L1" location="'Generieke input'!A1" display="Generieke input" xr:uid="{00000000-0004-0000-0500-000003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4B578-048D-4993-B63A-B907915E19B5}">
  <sheetPr codeName="Blad2">
    <tabColor rgb="FFFFC000"/>
  </sheetPr>
  <dimension ref="A1:F97"/>
  <sheetViews>
    <sheetView workbookViewId="0">
      <pane xSplit="4" ySplit="2" topLeftCell="E57" activePane="bottomRight" state="frozen"/>
      <selection pane="topRight" activeCell="E1" sqref="E1"/>
      <selection pane="bottomLeft" activeCell="A3" sqref="A3"/>
      <selection pane="bottomRight" activeCell="A97" sqref="A97"/>
    </sheetView>
  </sheetViews>
  <sheetFormatPr defaultRowHeight="14.4" x14ac:dyDescent="0.3"/>
  <cols>
    <col min="1" max="1" width="95.33203125" bestFit="1" customWidth="1"/>
    <col min="5" max="5" width="16.21875" style="86" bestFit="1" customWidth="1"/>
  </cols>
  <sheetData>
    <row r="1" spans="1:6" ht="15" thickBot="1" x14ac:dyDescent="0.35"/>
    <row r="2" spans="1:6" ht="21.6" thickBot="1" x14ac:dyDescent="0.45">
      <c r="A2" s="158" t="s">
        <v>1499</v>
      </c>
      <c r="E2" s="159" t="s">
        <v>1500</v>
      </c>
      <c r="F2" s="1" t="s">
        <v>1501</v>
      </c>
    </row>
    <row r="3" spans="1:6" x14ac:dyDescent="0.3">
      <c r="E3" s="160"/>
    </row>
    <row r="4" spans="1:6" ht="18" x14ac:dyDescent="0.35">
      <c r="A4" s="168" t="s">
        <v>1502</v>
      </c>
      <c r="E4" s="160"/>
    </row>
    <row r="5" spans="1:6" x14ac:dyDescent="0.3">
      <c r="A5" s="82" t="s">
        <v>1503</v>
      </c>
      <c r="E5" s="160"/>
    </row>
    <row r="6" spans="1:6" ht="15" thickBot="1" x14ac:dyDescent="0.35">
      <c r="E6" s="160"/>
    </row>
    <row r="7" spans="1:6" ht="15" thickBot="1" x14ac:dyDescent="0.35">
      <c r="A7" t="s">
        <v>1504</v>
      </c>
      <c r="E7" s="161" t="str">
        <f>IF('Generieke input'!C4&lt;&gt;"", "OK","NIET OK")</f>
        <v>OK</v>
      </c>
      <c r="F7" t="str">
        <f>IF(E7="NIET OK", "Gelieve de aanvraagdatum in te vullen","")</f>
        <v/>
      </c>
    </row>
    <row r="8" spans="1:6" ht="15" thickBot="1" x14ac:dyDescent="0.35">
      <c r="E8" s="160"/>
    </row>
    <row r="9" spans="1:6" ht="15" thickBot="1" x14ac:dyDescent="0.35">
      <c r="A9" t="s">
        <v>1505</v>
      </c>
      <c r="E9" s="161" t="str">
        <f>IF('Generieke input'!W19&gt;1,"NIET OK","Ok")</f>
        <v>Ok</v>
      </c>
      <c r="F9" t="str">
        <f>IF(E9="NIET OK", 'Generieke input'!W19&amp; " gegevens werd niet ingevuld. Gelieve aan te vullen.","")</f>
        <v/>
      </c>
    </row>
    <row r="10" spans="1:6" x14ac:dyDescent="0.3">
      <c r="E10" s="160"/>
    </row>
    <row r="11" spans="1:6" ht="15" thickBot="1" x14ac:dyDescent="0.35">
      <c r="A11" t="s">
        <v>1506</v>
      </c>
      <c r="E11" s="160"/>
    </row>
    <row r="12" spans="1:6" ht="15" thickBot="1" x14ac:dyDescent="0.35">
      <c r="A12" t="s">
        <v>1507</v>
      </c>
      <c r="E12" s="161" t="str">
        <f>'Generieke input'!H39</f>
        <v>OK</v>
      </c>
      <c r="F12" t="str">
        <f>IF(E12="NIET OK", "Ga na of de capaciteiten in hetzij formulier 1, hetzij formulier 2 niet hoger liggen dan de totale capaciteit van de zorgvorm","")</f>
        <v/>
      </c>
    </row>
    <row r="13" spans="1:6" ht="15" thickBot="1" x14ac:dyDescent="0.35">
      <c r="A13" t="s">
        <v>1508</v>
      </c>
      <c r="E13" s="161" t="str">
        <f>'Generieke input'!H41</f>
        <v>OK</v>
      </c>
      <c r="F13" t="str">
        <f>IF(E13="NIET OK", "Ga na of er geen combinatie is tussen de zorgvormen CDV of GAW met de andere zorgvormen.Indien toch, dan zal er een aparte prijsaanvraag moeten worden ingediend","")</f>
        <v/>
      </c>
    </row>
    <row r="14" spans="1:6" ht="15" thickBot="1" x14ac:dyDescent="0.35">
      <c r="E14" s="160"/>
    </row>
    <row r="15" spans="1:6" ht="15" thickBot="1" x14ac:dyDescent="0.35">
      <c r="A15" s="37" t="s">
        <v>1509</v>
      </c>
      <c r="E15" s="161" t="str">
        <f>IF('Generieke input'!D55&gt;0,"OK","NIET OK")</f>
        <v>OK</v>
      </c>
      <c r="F15" t="str">
        <f>IF(E15="NIET OK", "Gelieve het jaar van aanvangsbevel in te vullen","")</f>
        <v/>
      </c>
    </row>
    <row r="16" spans="1:6" x14ac:dyDescent="0.3">
      <c r="E16" s="160"/>
    </row>
    <row r="17" spans="1:6" x14ac:dyDescent="0.3">
      <c r="A17" s="82" t="s">
        <v>1510</v>
      </c>
      <c r="E17" s="160"/>
    </row>
    <row r="18" spans="1:6" ht="15" thickBot="1" x14ac:dyDescent="0.35">
      <c r="E18" s="160"/>
    </row>
    <row r="19" spans="1:6" ht="15" thickBot="1" x14ac:dyDescent="0.35">
      <c r="A19" t="s">
        <v>1511</v>
      </c>
      <c r="E19" s="161" t="str">
        <f>IF(capforfait&gt;0,"JA","NEEN")</f>
        <v>NEEN</v>
      </c>
    </row>
    <row r="20" spans="1:6" x14ac:dyDescent="0.3">
      <c r="E20" s="160"/>
    </row>
    <row r="21" spans="1:6" x14ac:dyDescent="0.3">
      <c r="A21" t="s">
        <v>1512</v>
      </c>
      <c r="E21" s="160"/>
    </row>
    <row r="22" spans="1:6" ht="15" thickBot="1" x14ac:dyDescent="0.35">
      <c r="E22" s="160"/>
    </row>
    <row r="23" spans="1:6" ht="15" thickBot="1" x14ac:dyDescent="0.35">
      <c r="A23" s="37" t="s">
        <v>1513</v>
      </c>
      <c r="E23" s="161" t="str">
        <f>IF(E19&lt;&gt;"JA", "NVT", IF(AND('1A-Infrastructuur met forfait'!bouwkost_werken&gt;0,'1A-Infrastructuur met forfait'!bouwkost_meubilair&gt;0),"OK","NIET OK"))</f>
        <v>NVT</v>
      </c>
      <c r="F23" t="str">
        <f>IF(E23="NIET OK","Gelieve de kosten in te voeren voor "&amp;A23,"")</f>
        <v/>
      </c>
    </row>
    <row r="24" spans="1:6" ht="15" thickBot="1" x14ac:dyDescent="0.35">
      <c r="A24" s="37" t="s">
        <v>1514</v>
      </c>
      <c r="E24" s="161" t="str">
        <f>IF(E19&lt;&gt;"JA","NVT",IF(SUM('1A-Infrastructuur met forfait'!E51:Q51)=0,"Te bekijken","OK"))</f>
        <v>NVT</v>
      </c>
      <c r="F24" t="str">
        <f>IF(E24="Te bekijken","Gelieve, indien van toepassing, de kosten in te voeren voor "&amp;A24,"")</f>
        <v/>
      </c>
    </row>
    <row r="25" spans="1:6" ht="15" thickBot="1" x14ac:dyDescent="0.35">
      <c r="A25" s="37" t="s">
        <v>1515</v>
      </c>
      <c r="E25" s="161" t="str">
        <f>IF(E19&lt;&gt;"JA","NVT",IF('1A-Infrastructuur met forfait'!G85&gt;0,"OK","NIET OK"))</f>
        <v>NVT</v>
      </c>
      <c r="F25" t="str">
        <f>IF(E25="NIET OK","Gelieve, indien van toepassing, de kosten in te voeren of te wijzigen voor "&amp;A25,"")</f>
        <v/>
      </c>
    </row>
    <row r="26" spans="1:6" ht="15" thickBot="1" x14ac:dyDescent="0.35">
      <c r="A26" s="37" t="s">
        <v>1516</v>
      </c>
      <c r="E26" s="161" t="str">
        <f>IF(E19&lt;&gt;"JA","NVT",IF('1A-Infrastructuur met forfait'!G126&gt;0,"OK","NIET OK"))</f>
        <v>NVT</v>
      </c>
      <c r="F26" t="str">
        <f t="shared" ref="F26" si="0">IF(E26="NIET OK","Gelieve, indien van toepassing, de kosten in te voeren voor "&amp;A26,"")</f>
        <v/>
      </c>
    </row>
    <row r="27" spans="1:6" ht="15" thickBot="1" x14ac:dyDescent="0.35">
      <c r="E27" s="160"/>
    </row>
    <row r="28" spans="1:6" ht="15" thickBot="1" x14ac:dyDescent="0.35">
      <c r="A28" s="37" t="s">
        <v>1517</v>
      </c>
      <c r="E28" s="161" t="str">
        <f>IF(E19&lt;&gt;"JA","NVT",IF('1A-Infrastructuur met forfait'!H145&lt;&gt;"","NIET OK","OK"))</f>
        <v>NVT</v>
      </c>
      <c r="F28" t="str">
        <f>IF(E28="NIET OK", "Gelieve de capaciteiten te wijzigen. " &amp;'1A-Infrastructuur met forfait'!H145, "")</f>
        <v/>
      </c>
    </row>
    <row r="29" spans="1:6" ht="15" thickBot="1" x14ac:dyDescent="0.35">
      <c r="A29" s="37" t="s">
        <v>1518</v>
      </c>
      <c r="E29" s="161" t="str">
        <f>IF(E19&lt;&gt;"JA","NVT",IF('1A-Infrastructuur met forfait'!H146&lt;&gt;"","NIET OK","OK"))</f>
        <v>NVT</v>
      </c>
      <c r="F29" t="str">
        <f>IF(E29="NIET OK",'1A-Infrastructuur met forfait'!H146, "")</f>
        <v/>
      </c>
    </row>
    <row r="30" spans="1:6" ht="15" thickBot="1" x14ac:dyDescent="0.35">
      <c r="A30" s="37" t="s">
        <v>1674</v>
      </c>
      <c r="E30" s="161" t="str">
        <f>IF(E19&lt;&gt;"JA","NVT",IF('1A-Infrastructuur met forfait'!F163=0,"NIET OK","OK"))</f>
        <v>NVT</v>
      </c>
      <c r="F30" t="str">
        <f>IF(E30="NIET OK","U dient minimaal voor de nieuwe bewoners capaciteiten én prijzen in te vullen", "")</f>
        <v/>
      </c>
    </row>
    <row r="31" spans="1:6" ht="15" thickBot="1" x14ac:dyDescent="0.35">
      <c r="E31" s="160"/>
    </row>
    <row r="32" spans="1:6" ht="15" thickBot="1" x14ac:dyDescent="0.35">
      <c r="A32" s="37" t="s">
        <v>1519</v>
      </c>
      <c r="E32" s="161" t="str">
        <f>IF(E19&lt;&gt;"JA","NVT",IF('1A-Infrastructuur met forfait'!Q176&lt;&gt;"","NIET OK","OK"))</f>
        <v>NVT</v>
      </c>
      <c r="F32" t="str">
        <f>IF(E32="NIET OK", "Gelieve de capaciteiten te wijzigen. " &amp;'1A-Infrastructuur met forfait'!Q176,"")</f>
        <v/>
      </c>
    </row>
    <row r="33" spans="1:6" ht="15" thickBot="1" x14ac:dyDescent="0.35">
      <c r="A33" s="37" t="s">
        <v>1520</v>
      </c>
      <c r="E33" s="161" t="str">
        <f>IF(E19&lt;&gt;"JA","NVT",IF('1A-Infrastructuur met forfait'!Q177&lt;&gt;"","NIET OK","OK"))</f>
        <v>NVT</v>
      </c>
      <c r="F33" t="str">
        <f>IF(E33="NIET OK",'1A-Infrastructuur met forfait'!Q177,"")</f>
        <v/>
      </c>
    </row>
    <row r="34" spans="1:6" x14ac:dyDescent="0.3">
      <c r="E34" s="160"/>
    </row>
    <row r="35" spans="1:6" x14ac:dyDescent="0.3">
      <c r="A35" s="82" t="s">
        <v>1521</v>
      </c>
      <c r="E35" s="160"/>
    </row>
    <row r="36" spans="1:6" ht="15" thickBot="1" x14ac:dyDescent="0.35">
      <c r="E36" s="160"/>
    </row>
    <row r="37" spans="1:6" ht="15" thickBot="1" x14ac:dyDescent="0.35">
      <c r="A37" t="s">
        <v>1511</v>
      </c>
      <c r="E37" s="161" t="str">
        <f>IF(capzoforfait&gt;0,"JA","NEEN")</f>
        <v>NEEN</v>
      </c>
    </row>
    <row r="38" spans="1:6" x14ac:dyDescent="0.3">
      <c r="E38" s="160"/>
    </row>
    <row r="39" spans="1:6" x14ac:dyDescent="0.3">
      <c r="A39" t="s">
        <v>1512</v>
      </c>
      <c r="E39" s="160"/>
    </row>
    <row r="40" spans="1:6" ht="15" thickBot="1" x14ac:dyDescent="0.35">
      <c r="E40" s="160"/>
    </row>
    <row r="41" spans="1:6" ht="15" thickBot="1" x14ac:dyDescent="0.35">
      <c r="A41" s="37" t="s">
        <v>1326</v>
      </c>
      <c r="E41" s="161" t="str">
        <f>IF(E37&lt;&gt;"JA", "NVT",IF('1B-Infra zonder forfait'!E23&gt;0,"OK","Te bekijken"))</f>
        <v>NVT</v>
      </c>
      <c r="F41" t="str">
        <f>IF(E41="Te bekijken","Gelieve ook de lopende infrastructuurkosten in te voeren, indien voorkomend","")</f>
        <v/>
      </c>
    </row>
    <row r="42" spans="1:6" ht="15" thickBot="1" x14ac:dyDescent="0.35">
      <c r="A42" s="37" t="s">
        <v>1522</v>
      </c>
      <c r="E42" s="161" t="str">
        <f>IF(E37&lt;&gt;"JA", "NVT",IF('1B-Infra zonder forfait'!G51&gt;0,"OK","NIET OK"))</f>
        <v>NVT</v>
      </c>
      <c r="F42" t="str">
        <f>IF(E42="NIET OK","U gebruikt dit formulier maar er werden geen investeringskosten ingevoerd? Gelieve te checken.","")</f>
        <v/>
      </c>
    </row>
    <row r="43" spans="1:6" ht="15" thickBot="1" x14ac:dyDescent="0.35">
      <c r="A43" s="37" t="s">
        <v>1523</v>
      </c>
      <c r="E43" s="161" t="str">
        <f>IFERROR(IF(E37&lt;&gt;"JA", "NVT",IF('1B-Infra zonder forfait'!F60&gt;=50%,"OK","NIET OK")), "NVT")</f>
        <v>NVT</v>
      </c>
      <c r="F43" t="str">
        <f>IF(E43="NIET OK",'1B-Infra zonder forfait'!C62,"")</f>
        <v/>
      </c>
    </row>
    <row r="44" spans="1:6" ht="15" thickBot="1" x14ac:dyDescent="0.35">
      <c r="A44" s="37" t="s">
        <v>1515</v>
      </c>
      <c r="E44" s="161" t="str">
        <f>IFERROR(IF(E37&lt;&gt;"JA", "NVT",IF('1B-Infra zonder forfait'!G77&gt;0,"OK","NIET OK")),"NVT")</f>
        <v>NVT</v>
      </c>
      <c r="F44" t="str">
        <f>IF(E44="NIET OK","Gelieve de kosten in te voeren voor "&amp;A44,"")</f>
        <v/>
      </c>
    </row>
    <row r="45" spans="1:6" ht="15" thickBot="1" x14ac:dyDescent="0.35">
      <c r="A45" s="37" t="s">
        <v>1516</v>
      </c>
      <c r="E45" s="161" t="str">
        <f>IF(E37&lt;&gt;"JA", "NVT",IF('1B-Infra zonder forfait'!G118&gt;0,"OK","NIET OK"))</f>
        <v>NVT</v>
      </c>
      <c r="F45" t="str">
        <f>IF(E45="NIET OK","Gelieve de kosten in te voeren voor "&amp;A45,"")</f>
        <v/>
      </c>
    </row>
    <row r="46" spans="1:6" ht="15" thickBot="1" x14ac:dyDescent="0.35">
      <c r="E46" s="160"/>
    </row>
    <row r="47" spans="1:6" ht="15" thickBot="1" x14ac:dyDescent="0.35">
      <c r="A47" s="37" t="s">
        <v>1524</v>
      </c>
      <c r="E47" s="161" t="str">
        <f>IF(E37&lt;&gt;"JA", "NVT",IF('1B-Infra zonder forfait'!G136&lt;&gt;"","NIET OK","OK"))</f>
        <v>NVT</v>
      </c>
      <c r="F47" t="str">
        <f>IF(E47="NIET OK", "Gelieve de capaciteiten te wijzigen. " &amp;'1B-Infra zonder forfait'!G136,"")</f>
        <v/>
      </c>
    </row>
    <row r="48" spans="1:6" ht="15" thickBot="1" x14ac:dyDescent="0.35">
      <c r="A48" s="37" t="s">
        <v>1525</v>
      </c>
      <c r="E48" s="161" t="str">
        <f>IF(E37&lt;&gt;"JA", "NVT",IF('1B-Infra zonder forfait'!G137&lt;&gt;"","NIET OK","OK"))</f>
        <v>NVT</v>
      </c>
      <c r="F48" t="str">
        <f>IF(E48="NIET OK",'1B-Infra zonder forfait'!G137, "")</f>
        <v/>
      </c>
    </row>
    <row r="49" spans="1:6" ht="15" thickBot="1" x14ac:dyDescent="0.35">
      <c r="A49" s="37" t="s">
        <v>1674</v>
      </c>
      <c r="E49" s="161" t="str">
        <f>IF(E37&lt;&gt;"JA", "NVT",IF('1B-Infra zonder forfait'!F154=0,"NIET OK","OK"))</f>
        <v>NVT</v>
      </c>
      <c r="F49" t="str">
        <f>IF(E49="NIET OK","U dient minimaal voor de nieuwe bewoners capaciteiten én prijzen in te vullen.", "")</f>
        <v/>
      </c>
    </row>
    <row r="50" spans="1:6" ht="15" thickBot="1" x14ac:dyDescent="0.35">
      <c r="E50" s="160"/>
    </row>
    <row r="51" spans="1:6" ht="15" thickBot="1" x14ac:dyDescent="0.35">
      <c r="A51" s="37" t="s">
        <v>1519</v>
      </c>
      <c r="E51" s="161" t="str">
        <f>IF(E37&lt;&gt;"JA", "NVT",IF('1B-Infra zonder forfait'!O167&lt;&gt;"","NIET OK","OK"))</f>
        <v>NVT</v>
      </c>
      <c r="F51" t="str">
        <f>IF(E51="NIET OK", "Gelieve de capaciteiten te wijzigen. " &amp;'1B-Infra zonder forfait'!O167,"")</f>
        <v/>
      </c>
    </row>
    <row r="52" spans="1:6" ht="15" thickBot="1" x14ac:dyDescent="0.35">
      <c r="A52" s="37" t="s">
        <v>1526</v>
      </c>
      <c r="E52" s="161" t="str">
        <f>IF(E37&lt;&gt;"JA", "NVT",IF('1B-Infra zonder forfait'!O168&lt;&gt;"","NIET OK","OK"))</f>
        <v>NVT</v>
      </c>
      <c r="F52" t="str">
        <f>IF(E52="NIET OK",'1B-Infra zonder forfait'!O168,"")</f>
        <v/>
      </c>
    </row>
    <row r="53" spans="1:6" x14ac:dyDescent="0.3">
      <c r="E53" s="160"/>
    </row>
    <row r="54" spans="1:6" x14ac:dyDescent="0.3">
      <c r="A54" s="82" t="s">
        <v>1718</v>
      </c>
      <c r="E54" s="160"/>
    </row>
    <row r="55" spans="1:6" ht="15" thickBot="1" x14ac:dyDescent="0.35">
      <c r="E55" s="160"/>
    </row>
    <row r="56" spans="1:6" ht="15" thickBot="1" x14ac:dyDescent="0.35">
      <c r="A56" t="s">
        <v>1511</v>
      </c>
      <c r="E56" s="161" t="str">
        <f>IF(capexgaw&gt;0,"JA","NEEN")</f>
        <v>NEEN</v>
      </c>
    </row>
    <row r="57" spans="1:6" ht="15" thickBot="1" x14ac:dyDescent="0.35">
      <c r="E57" s="160"/>
    </row>
    <row r="58" spans="1:6" ht="15" thickBot="1" x14ac:dyDescent="0.35">
      <c r="A58" t="s">
        <v>1527</v>
      </c>
      <c r="E58" s="161" t="str">
        <f>IF(E56&lt;&gt;"JA","NVT",IF(E56&lt;&gt;"JA","NVT",IF('Formulier 2'!G136&gt;0,"JA","NEEN")))</f>
        <v>NVT</v>
      </c>
    </row>
    <row r="59" spans="1:6" ht="15" thickBot="1" x14ac:dyDescent="0.35">
      <c r="E59" s="160"/>
    </row>
    <row r="60" spans="1:6" ht="15" thickBot="1" x14ac:dyDescent="0.35">
      <c r="A60" t="s">
        <v>1528</v>
      </c>
      <c r="E60" s="161" t="str">
        <f>IF(E56&lt;&gt;"JA","NVT",IF(E58="NEEN", "OK",IF('Formulier 2'!G104=0,"OK","NIET OK")))</f>
        <v>NVT</v>
      </c>
      <c r="F60" t="str">
        <f>IF(E60="NIET OK", "Voor dezelfde bewoners kan er niet simultaan een prijsaanvraag voor marge-evolutie en investeringskost worden ingediend.","")</f>
        <v/>
      </c>
    </row>
    <row r="61" spans="1:6" ht="15" thickBot="1" x14ac:dyDescent="0.35">
      <c r="E61" s="160"/>
    </row>
    <row r="62" spans="1:6" x14ac:dyDescent="0.3">
      <c r="A62" s="1103" t="s">
        <v>1529</v>
      </c>
      <c r="B62" s="1104"/>
      <c r="C62" s="1105"/>
      <c r="D62" s="164"/>
      <c r="E62" s="163"/>
    </row>
    <row r="63" spans="1:6" ht="15" thickBot="1" x14ac:dyDescent="0.35">
      <c r="A63" s="1106"/>
      <c r="B63" s="1107"/>
      <c r="C63" s="1108"/>
      <c r="E63" s="160"/>
    </row>
    <row r="64" spans="1:6" ht="15" thickBot="1" x14ac:dyDescent="0.35">
      <c r="A64" s="165"/>
      <c r="E64" s="160"/>
    </row>
    <row r="65" spans="1:6" x14ac:dyDescent="0.3">
      <c r="A65" s="165" t="s">
        <v>1530</v>
      </c>
      <c r="E65" s="209" t="str">
        <f>IF(OR(E56&lt;&gt;"JA",E58="JA"),"NVT",IF(AND(E58="NEEN",'Formulier 2'!E13&gt;0),"OK","NIET OK"))</f>
        <v>NVT</v>
      </c>
      <c r="F65" t="str">
        <f>IF(E65="NIET OK","Vul het jaartal van het laatst beschikbare boekjaar in","")</f>
        <v/>
      </c>
    </row>
    <row r="66" spans="1:6" x14ac:dyDescent="0.3">
      <c r="A66" s="165" t="s">
        <v>1531</v>
      </c>
      <c r="E66" s="210" t="str">
        <f>IF(OR(E56&lt;&gt;"JA",E58="JA"),"NVT",IF(AND(E58="NEEN",'Formulier 2'!G17&gt;0,'Formulier 2'!J17&gt;0),"OK","NIET OK"))</f>
        <v>NVT</v>
      </c>
      <c r="F66" t="str">
        <f>IF(E66="NIET OK", "U heeft geen of onvolledige invoer voor marge-evolutie","")</f>
        <v/>
      </c>
    </row>
    <row r="67" spans="1:6" ht="15" thickBot="1" x14ac:dyDescent="0.35">
      <c r="A67" s="166" t="s">
        <v>1532</v>
      </c>
      <c r="B67" s="167"/>
      <c r="C67" s="167"/>
      <c r="D67" s="167"/>
      <c r="E67" s="211" t="str">
        <f>IF(OR(E56&lt;&gt;"JA",E58="JA"),"NVT",IF(AND('Formulier 2'!F55&gt;0,Checklist_prijsaanvraag!E58="NEEN"),"OK","NIET OK"))</f>
        <v>NVT</v>
      </c>
    </row>
    <row r="68" spans="1:6" ht="15" thickBot="1" x14ac:dyDescent="0.35">
      <c r="E68" s="160"/>
    </row>
    <row r="69" spans="1:6" ht="15" thickBot="1" x14ac:dyDescent="0.35">
      <c r="A69" s="37" t="s">
        <v>1533</v>
      </c>
      <c r="E69" s="161" t="str">
        <f>IF(E56&lt;&gt;"JA","NVT",IF('Formulier 2'!G170&lt;&gt;"","NIET OK","OK"))</f>
        <v>NVT</v>
      </c>
      <c r="F69" t="str">
        <f>IF(E69="NIET OK",'Formulier 2'!G170 &amp;". Pas de capaciteiten aan.","")</f>
        <v/>
      </c>
    </row>
    <row r="70" spans="1:6" ht="15" thickBot="1" x14ac:dyDescent="0.35">
      <c r="A70" s="37" t="s">
        <v>1534</v>
      </c>
      <c r="E70" s="161" t="str">
        <f>IF(E56&lt;&gt;"JA","NVT",IF('Formulier 2'!G171&lt;&gt;"","NIET OK","OK"))</f>
        <v>NVT</v>
      </c>
      <c r="F70" t="str">
        <f>IF(E70="NIET OK",'Formulier 2'!G171,"")</f>
        <v/>
      </c>
    </row>
    <row r="71" spans="1:6" ht="15" thickBot="1" x14ac:dyDescent="0.35">
      <c r="E71" s="160"/>
    </row>
    <row r="72" spans="1:6" ht="15" thickBot="1" x14ac:dyDescent="0.35">
      <c r="A72" s="37" t="s">
        <v>1535</v>
      </c>
      <c r="E72" s="161" t="str">
        <f>IF(E56&lt;&gt;"JA","NVT",IF('Formulier 2'!K201&lt;&gt;"","NIET OK","OK"))</f>
        <v>NVT</v>
      </c>
    </row>
    <row r="73" spans="1:6" ht="15" thickBot="1" x14ac:dyDescent="0.35">
      <c r="A73" s="37" t="s">
        <v>1536</v>
      </c>
      <c r="E73" s="161" t="str">
        <f>IF(E56&lt;&gt;"JA","NVT",IF(AND('Formulier 2'!E219&gt;0,'Formulier 2'!F219=0), "NIET OK","OK"))</f>
        <v>NVT</v>
      </c>
      <c r="F73" t="str">
        <f>IF(E73="NIET OK", "U heeft capaciteiten ingevuld voor de bestaande bewoners, maar geen huidige dagprijzen","")</f>
        <v/>
      </c>
    </row>
    <row r="74" spans="1:6" ht="15" thickBot="1" x14ac:dyDescent="0.35">
      <c r="A74" s="37" t="s">
        <v>1537</v>
      </c>
      <c r="E74" s="161" t="str">
        <f>IF(E56&lt;&gt;"JA","NVT",IF(AND('Formulier 2'!E219&gt;0,'Formulier 2'!G219=0),"NIET OK","OK"))</f>
        <v>NVT</v>
      </c>
      <c r="F74" t="str">
        <f>IF(E74="NIET OK", "U heeft capaciteiten ingevuld voor de bestaande bewoners, maar geen dagprijzen.","")</f>
        <v/>
      </c>
    </row>
    <row r="75" spans="1:6" ht="15" thickBot="1" x14ac:dyDescent="0.35">
      <c r="A75" s="37"/>
      <c r="E75" s="162"/>
    </row>
    <row r="77" spans="1:6" ht="18" x14ac:dyDescent="0.35">
      <c r="A77" s="168" t="s">
        <v>1538</v>
      </c>
    </row>
    <row r="79" spans="1:6" x14ac:dyDescent="0.3">
      <c r="A79" t="s">
        <v>1676</v>
      </c>
    </row>
    <row r="80" spans="1:6" x14ac:dyDescent="0.3">
      <c r="A80" t="s">
        <v>1677</v>
      </c>
    </row>
    <row r="82" spans="1:1" x14ac:dyDescent="0.3">
      <c r="A82" s="53" t="s">
        <v>1539</v>
      </c>
    </row>
    <row r="83" spans="1:1" x14ac:dyDescent="0.3">
      <c r="A83" t="s">
        <v>1540</v>
      </c>
    </row>
    <row r="84" spans="1:1" x14ac:dyDescent="0.3">
      <c r="A84" t="str">
        <f>IF(SUM('1A-Infrastructuur met forfait'!G175:G193)&gt;0, "U heeft voor 1 of meerdere bewoners een plafondprijs opgenomen in de overeenkomst. Gelieve volgende verantwoording te bezorgen: ","")</f>
        <v/>
      </c>
    </row>
    <row r="85" spans="1:1" x14ac:dyDescent="0.3">
      <c r="A85" t="str">
        <f>IF(A84&lt;&gt;"","a)" &amp;'1A-Infrastructuur met forfait'!E196 &amp; " en b) " &amp; '1A-Infrastructuur met forfait'!E197,"")</f>
        <v/>
      </c>
    </row>
    <row r="87" spans="1:1" x14ac:dyDescent="0.3">
      <c r="A87" s="1" t="s">
        <v>1541</v>
      </c>
    </row>
    <row r="88" spans="1:1" x14ac:dyDescent="0.3">
      <c r="A88" t="str">
        <f>A83</f>
        <v>Exceloverzicht van alle investeringskosten met vermelding van het bedrag, het verantwoordingsstuk en daarnaast de referentie voor het verantwoordingsstuk. Gebruik best een apart tabblad en evt. het standaard voorziene tabblad "Bijlage investeringsoverzicht"</v>
      </c>
    </row>
    <row r="89" spans="1:1" x14ac:dyDescent="0.3">
      <c r="A89" t="str">
        <f>IF(SUM('1B-Infra zonder forfait'!F166:F184)&gt;0, "U heeft voor 1 of meerdere bewoners een plafondprijs opgenomen in de overeenkomst. Gelieve volgende verantwoording te bezorgen: ","")</f>
        <v/>
      </c>
    </row>
    <row r="90" spans="1:1" x14ac:dyDescent="0.3">
      <c r="A90" t="str">
        <f>IF(A89&lt;&gt;"","a)" &amp;'1B-Infra zonder forfait'!E187 &amp; " en b) " &amp; '1B-Infra zonder forfait'!E188,"")</f>
        <v/>
      </c>
    </row>
    <row r="92" spans="1:1" x14ac:dyDescent="0.3">
      <c r="A92" s="1" t="s">
        <v>1675</v>
      </c>
    </row>
    <row r="93" spans="1:1" x14ac:dyDescent="0.3">
      <c r="A93" t="str">
        <f>"Indien aanvraag voor investeringskost: "&amp;A83</f>
        <v>Indien aanvraag voor investeringskost: Exceloverzicht van alle investeringskosten met vermelding van het bedrag, het verantwoordingsstuk en daarnaast de referentie voor het verantwoordingsstuk. Gebruik best een apart tabblad en evt. het standaard voorziene tabblad "Bijlage investeringsoverzicht"</v>
      </c>
    </row>
    <row r="95" spans="1:1" x14ac:dyDescent="0.3">
      <c r="A95" t="s">
        <v>1542</v>
      </c>
    </row>
    <row r="96" spans="1:1" x14ac:dyDescent="0.3">
      <c r="A96" s="39" t="str">
        <f>'Formulier 2'!F108</f>
        <v>Resultatenrekening (extracomptabel) van de betrokken zorgvorm (woonzorgcentrum en kortverblijf, DVC, GAW). Indien ontbrekend, kan vertrokken worden van het hogere beschikbare niveau, waarop dan vervolgens een verdeelsleutel wordt toegepast.</v>
      </c>
    </row>
    <row r="97" spans="1:1" x14ac:dyDescent="0.3">
      <c r="A97" t="s">
        <v>1842</v>
      </c>
    </row>
  </sheetData>
  <sheetProtection algorithmName="SHA-512" hashValue="E2eiD8dmjqcBOI4FFt5ShzSl+5PrEWTCZbe54MsOCTlcntoxS7MNth36bTqoR+vYT6QvJ079Ty+XyCpABa5WHg==" saltValue="uW+Gb3V+skF049gGsW+VlQ==" spinCount="100000" sheet="1" objects="1" scenarios="1"/>
  <mergeCells count="1">
    <mergeCell ref="A62:C63"/>
  </mergeCells>
  <conditionalFormatting sqref="E1:E1048576">
    <cfRule type="expression" dxfId="2" priority="1">
      <formula>E1="OK"</formula>
    </cfRule>
    <cfRule type="expression" dxfId="1" priority="2">
      <formula>E1="NIET OK"</formula>
    </cfRule>
    <cfRule type="expression" dxfId="0" priority="3">
      <formula>E1="Te bekijken"</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727F-54D9-4F8E-A5A6-348130A51CAF}">
  <sheetPr codeName="Blad16" filterMode="1">
    <tabColor rgb="FF92D050"/>
  </sheetPr>
  <dimension ref="A1:L221"/>
  <sheetViews>
    <sheetView zoomScale="148" zoomScaleNormal="148" workbookViewId="0">
      <selection activeCell="H2" sqref="H2"/>
    </sheetView>
  </sheetViews>
  <sheetFormatPr defaultColWidth="8.88671875" defaultRowHeight="12" x14ac:dyDescent="0.25"/>
  <cols>
    <col min="1" max="1" width="26.5546875" style="403" customWidth="1"/>
    <col min="2" max="2" width="7.33203125" style="403" customWidth="1"/>
    <col min="3" max="3" width="13.6640625" style="403" customWidth="1"/>
    <col min="4" max="4" width="16" style="403" customWidth="1"/>
    <col min="5" max="5" width="11" style="423" customWidth="1"/>
    <col min="6" max="6" width="15.6640625" style="423" customWidth="1"/>
    <col min="7" max="7" width="15.6640625" style="469" customWidth="1"/>
    <col min="8" max="8" width="15.6640625" style="403" customWidth="1"/>
    <col min="9" max="11" width="13.21875" style="403" customWidth="1"/>
    <col min="12" max="16384" width="8.88671875" style="403"/>
  </cols>
  <sheetData>
    <row r="1" spans="1:10" ht="21.6" thickBot="1" x14ac:dyDescent="0.45">
      <c r="H1" s="523" t="s">
        <v>1855</v>
      </c>
    </row>
    <row r="2" spans="1:10" ht="15.6" x14ac:dyDescent="0.25">
      <c r="A2" s="1157" t="s">
        <v>1543</v>
      </c>
      <c r="B2" s="525"/>
      <c r="C2" s="525"/>
      <c r="D2" s="525"/>
      <c r="E2" s="525"/>
      <c r="F2" s="526"/>
      <c r="G2" s="470"/>
      <c r="H2" s="522" t="s">
        <v>1854</v>
      </c>
    </row>
    <row r="3" spans="1:10" ht="12.6" thickBot="1" x14ac:dyDescent="0.3">
      <c r="A3" s="527"/>
      <c r="B3" s="528"/>
      <c r="C3" s="528"/>
      <c r="D3" s="528"/>
      <c r="E3" s="528"/>
      <c r="F3" s="529"/>
      <c r="G3" s="469">
        <v>1</v>
      </c>
      <c r="H3" s="404" t="s">
        <v>1852</v>
      </c>
    </row>
    <row r="4" spans="1:10" ht="12.6" thickBot="1" x14ac:dyDescent="0.3">
      <c r="G4" s="469">
        <v>1</v>
      </c>
      <c r="H4" s="480" t="s">
        <v>1853</v>
      </c>
    </row>
    <row r="5" spans="1:10" ht="12.6" thickBot="1" x14ac:dyDescent="0.3">
      <c r="A5" s="405" t="s">
        <v>29</v>
      </c>
      <c r="C5" s="406">
        <f>'Generieke input'!C4</f>
        <v>45827</v>
      </c>
      <c r="D5" s="407"/>
      <c r="G5" s="469">
        <v>1</v>
      </c>
      <c r="H5" s="481"/>
    </row>
    <row r="6" spans="1:10" x14ac:dyDescent="0.25">
      <c r="G6" s="469">
        <v>1</v>
      </c>
      <c r="H6" s="480" t="s">
        <v>1847</v>
      </c>
    </row>
    <row r="7" spans="1:10" x14ac:dyDescent="0.25">
      <c r="A7" s="408" t="s">
        <v>31</v>
      </c>
      <c r="G7" s="469">
        <v>1</v>
      </c>
    </row>
    <row r="8" spans="1:10" ht="12.6" thickBot="1" x14ac:dyDescent="0.3">
      <c r="A8" s="408"/>
      <c r="G8" s="469">
        <v>1</v>
      </c>
      <c r="H8" s="480" t="s">
        <v>1848</v>
      </c>
      <c r="I8" s="480"/>
      <c r="J8" s="480"/>
    </row>
    <row r="9" spans="1:10" ht="14.4" x14ac:dyDescent="0.3">
      <c r="A9" s="409" t="s">
        <v>32</v>
      </c>
      <c r="B9" s="1115" t="str">
        <f>'Generieke input'!F8</f>
        <v>Naam inrichtende macht</v>
      </c>
      <c r="C9" s="1116"/>
      <c r="D9" s="1116"/>
      <c r="E9" s="1116"/>
      <c r="F9" s="1117"/>
      <c r="G9" s="469">
        <v>1</v>
      </c>
      <c r="H9" s="480" t="s">
        <v>1849</v>
      </c>
      <c r="I9" s="480"/>
      <c r="J9" s="480"/>
    </row>
    <row r="10" spans="1:10" ht="14.4" x14ac:dyDescent="0.3">
      <c r="A10" s="410" t="s">
        <v>34</v>
      </c>
      <c r="B10" s="1109" t="str">
        <f>'Generieke input'!F9</f>
        <v>rechtsvorm:</v>
      </c>
      <c r="C10" s="1110"/>
      <c r="D10" s="1110"/>
      <c r="E10" s="1110"/>
      <c r="F10" s="1111"/>
      <c r="G10" s="469">
        <v>1</v>
      </c>
      <c r="H10" s="480"/>
      <c r="I10" s="480"/>
      <c r="J10" s="480"/>
    </row>
    <row r="11" spans="1:10" ht="14.4" x14ac:dyDescent="0.3">
      <c r="A11" s="410" t="s">
        <v>36</v>
      </c>
      <c r="B11" s="1109">
        <f>'Generieke input'!F10</f>
        <v>0</v>
      </c>
      <c r="C11" s="1110"/>
      <c r="D11" s="1110"/>
      <c r="E11" s="1110"/>
      <c r="F11" s="1111"/>
      <c r="G11" s="469">
        <v>1</v>
      </c>
      <c r="H11" s="480" t="s">
        <v>1850</v>
      </c>
      <c r="I11" s="480"/>
      <c r="J11" s="480"/>
    </row>
    <row r="12" spans="1:10" ht="14.4" x14ac:dyDescent="0.3">
      <c r="A12" s="410" t="s">
        <v>37</v>
      </c>
      <c r="B12" s="1109" t="str">
        <f>'Generieke input'!F11</f>
        <v>straat +nr, postcode + gemeente</v>
      </c>
      <c r="C12" s="1110"/>
      <c r="D12" s="1110"/>
      <c r="E12" s="1110"/>
      <c r="F12" s="1111"/>
      <c r="G12" s="469">
        <v>1</v>
      </c>
      <c r="H12" s="480" t="s">
        <v>1851</v>
      </c>
      <c r="I12" s="480"/>
      <c r="J12" s="480"/>
    </row>
    <row r="13" spans="1:10" ht="14.4" x14ac:dyDescent="0.3">
      <c r="A13" s="410" t="s">
        <v>39</v>
      </c>
      <c r="B13" s="1109" t="str">
        <f>'Generieke input'!F12</f>
        <v>naam voorziening</v>
      </c>
      <c r="C13" s="1110"/>
      <c r="D13" s="1110"/>
      <c r="E13" s="1110"/>
      <c r="F13" s="1111"/>
      <c r="G13" s="469">
        <v>1</v>
      </c>
    </row>
    <row r="14" spans="1:10" ht="14.4" x14ac:dyDescent="0.3">
      <c r="A14" s="410" t="s">
        <v>40</v>
      </c>
      <c r="B14" s="1109" t="str">
        <f>'Generieke input'!F13</f>
        <v>straat +nr, postcode + gemeente</v>
      </c>
      <c r="C14" s="1110"/>
      <c r="D14" s="1110"/>
      <c r="E14" s="1110"/>
      <c r="F14" s="1111"/>
      <c r="G14" s="469">
        <v>1</v>
      </c>
    </row>
    <row r="15" spans="1:10" ht="14.4" x14ac:dyDescent="0.3">
      <c r="A15" s="410" t="s">
        <v>41</v>
      </c>
      <c r="B15" s="1109" t="str">
        <f>'Generieke input'!F14</f>
        <v>xxxx/xx xx xx</v>
      </c>
      <c r="C15" s="1110"/>
      <c r="D15" s="1110"/>
      <c r="E15" s="1110"/>
      <c r="F15" s="1111"/>
      <c r="G15" s="469">
        <v>1</v>
      </c>
    </row>
    <row r="16" spans="1:10" ht="14.4" x14ac:dyDescent="0.3">
      <c r="A16" s="410" t="s">
        <v>42</v>
      </c>
      <c r="B16" s="1109" t="str">
        <f>'Generieke input'!F15</f>
        <v>naam@extensie.be</v>
      </c>
      <c r="C16" s="1110"/>
      <c r="D16" s="1110"/>
      <c r="E16" s="1110"/>
      <c r="F16" s="1111"/>
      <c r="G16" s="469">
        <v>1</v>
      </c>
    </row>
    <row r="17" spans="1:7" ht="14.4" x14ac:dyDescent="0.3">
      <c r="A17" s="410" t="s">
        <v>1544</v>
      </c>
      <c r="B17" s="1109" t="str">
        <f>'Generieke input'!F16</f>
        <v>gelieve hier uw dossiernummer bij Zorg en Gezondheid in te vullen</v>
      </c>
      <c r="C17" s="1110"/>
      <c r="D17" s="1110"/>
      <c r="E17" s="1110"/>
      <c r="F17" s="1111"/>
      <c r="G17" s="469">
        <v>1</v>
      </c>
    </row>
    <row r="18" spans="1:7" ht="14.4" x14ac:dyDescent="0.3">
      <c r="A18" s="410" t="s">
        <v>1545</v>
      </c>
      <c r="B18" s="1109" t="str">
        <f>'Generieke input'!F17</f>
        <v>geliever hier  uw ondernemingsnummer in te vullen</v>
      </c>
      <c r="C18" s="1110"/>
      <c r="D18" s="1110"/>
      <c r="E18" s="1110"/>
      <c r="F18" s="1111"/>
      <c r="G18" s="469">
        <v>1</v>
      </c>
    </row>
    <row r="19" spans="1:7" ht="15" thickBot="1" x14ac:dyDescent="0.35">
      <c r="A19" s="411" t="s">
        <v>44</v>
      </c>
      <c r="B19" s="1112" t="str">
        <f>'Generieke input'!F18</f>
        <v>voornaam + naam</v>
      </c>
      <c r="C19" s="1113"/>
      <c r="D19" s="1113"/>
      <c r="E19" s="1113"/>
      <c r="F19" s="1114"/>
      <c r="G19" s="469">
        <v>1</v>
      </c>
    </row>
    <row r="20" spans="1:7" x14ac:dyDescent="0.25">
      <c r="A20" s="412"/>
      <c r="B20" s="412"/>
      <c r="C20" s="412"/>
      <c r="D20" s="412"/>
      <c r="E20" s="482"/>
      <c r="G20" s="469">
        <v>1</v>
      </c>
    </row>
    <row r="21" spans="1:7" hidden="1" x14ac:dyDescent="0.25">
      <c r="A21" s="408" t="s">
        <v>1546</v>
      </c>
      <c r="G21" s="403">
        <f>IF(OR(G26=1,G49=1,G72=1),1,0)</f>
        <v>0</v>
      </c>
    </row>
    <row r="22" spans="1:7" hidden="1" x14ac:dyDescent="0.25">
      <c r="A22" s="408"/>
      <c r="G22" s="403">
        <f>G21</f>
        <v>0</v>
      </c>
    </row>
    <row r="23" spans="1:7" hidden="1" x14ac:dyDescent="0.25">
      <c r="A23" s="408" t="s">
        <v>1547</v>
      </c>
      <c r="G23" s="403">
        <f>IF(SUM(E26:E44)&gt;0,1,0)</f>
        <v>0</v>
      </c>
    </row>
    <row r="24" spans="1:7" hidden="1" x14ac:dyDescent="0.25">
      <c r="G24" s="403">
        <f>G23</f>
        <v>0</v>
      </c>
    </row>
    <row r="25" spans="1:7" ht="24.6" hidden="1" thickBot="1" x14ac:dyDescent="0.35">
      <c r="A25" s="1120" t="s">
        <v>1548</v>
      </c>
      <c r="B25" s="1121"/>
      <c r="C25" s="1122"/>
      <c r="D25" s="431" t="s">
        <v>1549</v>
      </c>
      <c r="E25" s="483" t="s">
        <v>1550</v>
      </c>
      <c r="F25" s="496" t="s">
        <v>1551</v>
      </c>
      <c r="G25" s="403">
        <f>G26</f>
        <v>0</v>
      </c>
    </row>
    <row r="26" spans="1:7" ht="14.4" hidden="1" x14ac:dyDescent="0.3">
      <c r="A26" s="1127">
        <f>'1A-Infrastructuur met forfait'!B144</f>
        <v>0</v>
      </c>
      <c r="B26" s="1128"/>
      <c r="C26" s="1129"/>
      <c r="D26" s="413">
        <f>'1A-Infrastructuur met forfait'!E144</f>
        <v>0</v>
      </c>
      <c r="E26" s="484">
        <f>'1A-Infrastructuur met forfait'!F144</f>
        <v>0</v>
      </c>
      <c r="F26" s="497">
        <f>'1A-Infrastructuur met forfait'!G144</f>
        <v>0</v>
      </c>
      <c r="G26" s="403">
        <f>IF(E26&gt;0,1,0)</f>
        <v>0</v>
      </c>
    </row>
    <row r="27" spans="1:7" ht="14.4" hidden="1" x14ac:dyDescent="0.3">
      <c r="A27" s="1130">
        <f>'1A-Infrastructuur met forfait'!B145</f>
        <v>0</v>
      </c>
      <c r="B27" s="1131"/>
      <c r="C27" s="1132"/>
      <c r="D27" s="413">
        <f>'1A-Infrastructuur met forfait'!E145</f>
        <v>0</v>
      </c>
      <c r="E27" s="484">
        <f>'1A-Infrastructuur met forfait'!F145</f>
        <v>0</v>
      </c>
      <c r="F27" s="497">
        <f>'1A-Infrastructuur met forfait'!G145</f>
        <v>0</v>
      </c>
      <c r="G27" s="403">
        <f t="shared" ref="G27:G44" si="0">IF(E27&gt;0,1,0)</f>
        <v>0</v>
      </c>
    </row>
    <row r="28" spans="1:7" hidden="1" x14ac:dyDescent="0.25">
      <c r="A28" s="1130">
        <f>'1A-Infrastructuur met forfait'!B146</f>
        <v>0</v>
      </c>
      <c r="B28" s="1133"/>
      <c r="C28" s="1134"/>
      <c r="D28" s="413">
        <f>'1A-Infrastructuur met forfait'!E146</f>
        <v>0</v>
      </c>
      <c r="E28" s="484">
        <f>'1A-Infrastructuur met forfait'!F146</f>
        <v>0</v>
      </c>
      <c r="F28" s="497">
        <f>'1A-Infrastructuur met forfait'!G146</f>
        <v>0</v>
      </c>
      <c r="G28" s="403">
        <f t="shared" si="0"/>
        <v>0</v>
      </c>
    </row>
    <row r="29" spans="1:7" hidden="1" x14ac:dyDescent="0.25">
      <c r="A29" s="1130">
        <f>'1A-Infrastructuur met forfait'!B147</f>
        <v>0</v>
      </c>
      <c r="B29" s="1133"/>
      <c r="C29" s="1134"/>
      <c r="D29" s="413">
        <f>'1A-Infrastructuur met forfait'!E147</f>
        <v>0</v>
      </c>
      <c r="E29" s="484">
        <f>'1A-Infrastructuur met forfait'!F147</f>
        <v>0</v>
      </c>
      <c r="F29" s="497">
        <f>'1A-Infrastructuur met forfait'!G147</f>
        <v>0</v>
      </c>
      <c r="G29" s="403">
        <f t="shared" si="0"/>
        <v>0</v>
      </c>
    </row>
    <row r="30" spans="1:7" hidden="1" x14ac:dyDescent="0.25">
      <c r="A30" s="1130">
        <f>'1A-Infrastructuur met forfait'!B148</f>
        <v>0</v>
      </c>
      <c r="B30" s="1133"/>
      <c r="C30" s="1134"/>
      <c r="D30" s="413">
        <f>'1A-Infrastructuur met forfait'!E148</f>
        <v>0</v>
      </c>
      <c r="E30" s="484">
        <f>'1A-Infrastructuur met forfait'!F148</f>
        <v>0</v>
      </c>
      <c r="F30" s="497">
        <f>'1A-Infrastructuur met forfait'!G148</f>
        <v>0</v>
      </c>
      <c r="G30" s="403">
        <f t="shared" si="0"/>
        <v>0</v>
      </c>
    </row>
    <row r="31" spans="1:7" hidden="1" x14ac:dyDescent="0.25">
      <c r="A31" s="1130">
        <f>'1A-Infrastructuur met forfait'!B149</f>
        <v>0</v>
      </c>
      <c r="B31" s="1133"/>
      <c r="C31" s="1134"/>
      <c r="D31" s="413">
        <f>'1A-Infrastructuur met forfait'!E149</f>
        <v>0</v>
      </c>
      <c r="E31" s="484">
        <f>'1A-Infrastructuur met forfait'!F149</f>
        <v>0</v>
      </c>
      <c r="F31" s="497">
        <f>'1A-Infrastructuur met forfait'!G149</f>
        <v>0</v>
      </c>
      <c r="G31" s="403">
        <f t="shared" si="0"/>
        <v>0</v>
      </c>
    </row>
    <row r="32" spans="1:7" hidden="1" x14ac:dyDescent="0.25">
      <c r="A32" s="1130">
        <f>'1A-Infrastructuur met forfait'!B150</f>
        <v>0</v>
      </c>
      <c r="B32" s="1133"/>
      <c r="C32" s="1134"/>
      <c r="D32" s="413">
        <f>'1A-Infrastructuur met forfait'!E150</f>
        <v>0</v>
      </c>
      <c r="E32" s="484">
        <f>'1A-Infrastructuur met forfait'!F150</f>
        <v>0</v>
      </c>
      <c r="F32" s="497">
        <f>'1A-Infrastructuur met forfait'!G150</f>
        <v>0</v>
      </c>
      <c r="G32" s="403">
        <f t="shared" si="0"/>
        <v>0</v>
      </c>
    </row>
    <row r="33" spans="1:7" hidden="1" x14ac:dyDescent="0.25">
      <c r="A33" s="1130">
        <f>'1A-Infrastructuur met forfait'!B151</f>
        <v>0</v>
      </c>
      <c r="B33" s="1133"/>
      <c r="C33" s="1134"/>
      <c r="D33" s="413">
        <f>'1A-Infrastructuur met forfait'!E151</f>
        <v>0</v>
      </c>
      <c r="E33" s="484">
        <f>'1A-Infrastructuur met forfait'!F151</f>
        <v>0</v>
      </c>
      <c r="F33" s="497">
        <f>'1A-Infrastructuur met forfait'!G151</f>
        <v>0</v>
      </c>
      <c r="G33" s="403">
        <f t="shared" si="0"/>
        <v>0</v>
      </c>
    </row>
    <row r="34" spans="1:7" hidden="1" x14ac:dyDescent="0.25">
      <c r="A34" s="1130">
        <f>'1A-Infrastructuur met forfait'!B152</f>
        <v>0</v>
      </c>
      <c r="B34" s="1133"/>
      <c r="C34" s="1134"/>
      <c r="D34" s="413">
        <f>'1A-Infrastructuur met forfait'!E152</f>
        <v>0</v>
      </c>
      <c r="E34" s="484">
        <f>'1A-Infrastructuur met forfait'!F152</f>
        <v>0</v>
      </c>
      <c r="F34" s="497">
        <f>'1A-Infrastructuur met forfait'!G152</f>
        <v>0</v>
      </c>
      <c r="G34" s="403">
        <f t="shared" si="0"/>
        <v>0</v>
      </c>
    </row>
    <row r="35" spans="1:7" hidden="1" x14ac:dyDescent="0.25">
      <c r="A35" s="1130">
        <f>'1A-Infrastructuur met forfait'!B153</f>
        <v>0</v>
      </c>
      <c r="B35" s="1133"/>
      <c r="C35" s="1134"/>
      <c r="D35" s="413">
        <f>'1A-Infrastructuur met forfait'!E153</f>
        <v>0</v>
      </c>
      <c r="E35" s="484">
        <f>'1A-Infrastructuur met forfait'!F153</f>
        <v>0</v>
      </c>
      <c r="F35" s="497">
        <f>'1A-Infrastructuur met forfait'!G153</f>
        <v>0</v>
      </c>
      <c r="G35" s="403">
        <f t="shared" si="0"/>
        <v>0</v>
      </c>
    </row>
    <row r="36" spans="1:7" hidden="1" x14ac:dyDescent="0.25">
      <c r="A36" s="1130">
        <f>'1A-Infrastructuur met forfait'!B154</f>
        <v>0</v>
      </c>
      <c r="B36" s="1133"/>
      <c r="C36" s="1134"/>
      <c r="D36" s="413">
        <f>'1A-Infrastructuur met forfait'!E154</f>
        <v>0</v>
      </c>
      <c r="E36" s="484">
        <f>'1A-Infrastructuur met forfait'!F154</f>
        <v>0</v>
      </c>
      <c r="F36" s="497">
        <f>'1A-Infrastructuur met forfait'!G154</f>
        <v>0</v>
      </c>
      <c r="G36" s="403">
        <f t="shared" si="0"/>
        <v>0</v>
      </c>
    </row>
    <row r="37" spans="1:7" hidden="1" x14ac:dyDescent="0.25">
      <c r="A37" s="1130">
        <f>'1A-Infrastructuur met forfait'!B155</f>
        <v>0</v>
      </c>
      <c r="B37" s="1133"/>
      <c r="C37" s="1134"/>
      <c r="D37" s="413">
        <f>'1A-Infrastructuur met forfait'!E155</f>
        <v>0</v>
      </c>
      <c r="E37" s="484">
        <f>'1A-Infrastructuur met forfait'!F155</f>
        <v>0</v>
      </c>
      <c r="F37" s="497">
        <f>'1A-Infrastructuur met forfait'!G155</f>
        <v>0</v>
      </c>
      <c r="G37" s="403">
        <f t="shared" si="0"/>
        <v>0</v>
      </c>
    </row>
    <row r="38" spans="1:7" hidden="1" x14ac:dyDescent="0.25">
      <c r="A38" s="1130">
        <f>'1A-Infrastructuur met forfait'!B156</f>
        <v>0</v>
      </c>
      <c r="B38" s="1133"/>
      <c r="C38" s="1134"/>
      <c r="D38" s="413">
        <f>'1A-Infrastructuur met forfait'!E156</f>
        <v>0</v>
      </c>
      <c r="E38" s="484">
        <f>'1A-Infrastructuur met forfait'!F156</f>
        <v>0</v>
      </c>
      <c r="F38" s="497">
        <f>'1A-Infrastructuur met forfait'!G156</f>
        <v>0</v>
      </c>
      <c r="G38" s="403">
        <f t="shared" si="0"/>
        <v>0</v>
      </c>
    </row>
    <row r="39" spans="1:7" hidden="1" x14ac:dyDescent="0.25">
      <c r="A39" s="1130">
        <f>'1A-Infrastructuur met forfait'!B157</f>
        <v>0</v>
      </c>
      <c r="B39" s="1133"/>
      <c r="C39" s="1134"/>
      <c r="D39" s="413">
        <f>'1A-Infrastructuur met forfait'!E157</f>
        <v>0</v>
      </c>
      <c r="E39" s="484">
        <f>'1A-Infrastructuur met forfait'!F157</f>
        <v>0</v>
      </c>
      <c r="F39" s="497">
        <f>'1A-Infrastructuur met forfait'!G157</f>
        <v>0</v>
      </c>
      <c r="G39" s="403">
        <f t="shared" si="0"/>
        <v>0</v>
      </c>
    </row>
    <row r="40" spans="1:7" hidden="1" x14ac:dyDescent="0.25">
      <c r="A40" s="1130">
        <f>'1A-Infrastructuur met forfait'!B158</f>
        <v>0</v>
      </c>
      <c r="B40" s="1133"/>
      <c r="C40" s="1134"/>
      <c r="D40" s="413">
        <f>'1A-Infrastructuur met forfait'!E158</f>
        <v>0</v>
      </c>
      <c r="E40" s="484">
        <f>'1A-Infrastructuur met forfait'!F158</f>
        <v>0</v>
      </c>
      <c r="F40" s="497">
        <f>'1A-Infrastructuur met forfait'!G158</f>
        <v>0</v>
      </c>
      <c r="G40" s="403">
        <f t="shared" si="0"/>
        <v>0</v>
      </c>
    </row>
    <row r="41" spans="1:7" hidden="1" x14ac:dyDescent="0.25">
      <c r="A41" s="1130">
        <f>'1A-Infrastructuur met forfait'!B159</f>
        <v>0</v>
      </c>
      <c r="B41" s="1133"/>
      <c r="C41" s="1134"/>
      <c r="D41" s="413">
        <f>'1A-Infrastructuur met forfait'!E159</f>
        <v>0</v>
      </c>
      <c r="E41" s="484">
        <f>'1A-Infrastructuur met forfait'!F159</f>
        <v>0</v>
      </c>
      <c r="F41" s="497">
        <f>'1A-Infrastructuur met forfait'!G159</f>
        <v>0</v>
      </c>
      <c r="G41" s="403">
        <f t="shared" si="0"/>
        <v>0</v>
      </c>
    </row>
    <row r="42" spans="1:7" hidden="1" x14ac:dyDescent="0.25">
      <c r="A42" s="1130">
        <f>'1A-Infrastructuur met forfait'!B160</f>
        <v>0</v>
      </c>
      <c r="B42" s="1133"/>
      <c r="C42" s="1134"/>
      <c r="D42" s="413">
        <f>'1A-Infrastructuur met forfait'!E160</f>
        <v>0</v>
      </c>
      <c r="E42" s="484">
        <f>'1A-Infrastructuur met forfait'!F160</f>
        <v>0</v>
      </c>
      <c r="F42" s="497">
        <f>'1A-Infrastructuur met forfait'!G160</f>
        <v>0</v>
      </c>
      <c r="G42" s="403">
        <f t="shared" si="0"/>
        <v>0</v>
      </c>
    </row>
    <row r="43" spans="1:7" hidden="1" x14ac:dyDescent="0.25">
      <c r="A43" s="1130">
        <f>'1A-Infrastructuur met forfait'!B161</f>
        <v>0</v>
      </c>
      <c r="B43" s="1133"/>
      <c r="C43" s="1134"/>
      <c r="D43" s="413">
        <f>'1A-Infrastructuur met forfait'!E161</f>
        <v>0</v>
      </c>
      <c r="E43" s="484">
        <f>'1A-Infrastructuur met forfait'!F161</f>
        <v>0</v>
      </c>
      <c r="F43" s="497">
        <f>'1A-Infrastructuur met forfait'!G161</f>
        <v>0</v>
      </c>
      <c r="G43" s="403">
        <f t="shared" si="0"/>
        <v>0</v>
      </c>
    </row>
    <row r="44" spans="1:7" ht="12.6" hidden="1" thickBot="1" x14ac:dyDescent="0.3">
      <c r="A44" s="1135">
        <f>'1A-Infrastructuur met forfait'!B162</f>
        <v>0</v>
      </c>
      <c r="B44" s="1136"/>
      <c r="C44" s="1137"/>
      <c r="D44" s="414">
        <f>'1A-Infrastructuur met forfait'!E162</f>
        <v>0</v>
      </c>
      <c r="E44" s="485">
        <f>'1A-Infrastructuur met forfait'!F162</f>
        <v>0</v>
      </c>
      <c r="F44" s="498">
        <f>'1A-Infrastructuur met forfait'!G162</f>
        <v>0</v>
      </c>
      <c r="G44" s="403">
        <f t="shared" si="0"/>
        <v>0</v>
      </c>
    </row>
    <row r="45" spans="1:7" hidden="1" x14ac:dyDescent="0.25">
      <c r="G45" s="403">
        <f>G26</f>
        <v>0</v>
      </c>
    </row>
    <row r="46" spans="1:7" hidden="1" x14ac:dyDescent="0.25">
      <c r="A46" s="408" t="s">
        <v>1552</v>
      </c>
      <c r="G46" s="403">
        <f>IF(SUM(F49:F67)&gt;0,1,0)</f>
        <v>0</v>
      </c>
    </row>
    <row r="47" spans="1:7" hidden="1" x14ac:dyDescent="0.25">
      <c r="G47" s="403">
        <f>G46</f>
        <v>0</v>
      </c>
    </row>
    <row r="48" spans="1:7" ht="15" hidden="1" thickBot="1" x14ac:dyDescent="0.35">
      <c r="A48" s="1120" t="s">
        <v>1548</v>
      </c>
      <c r="B48" s="1121"/>
      <c r="C48" s="1121"/>
      <c r="D48" s="1122"/>
      <c r="E48" s="486" t="s">
        <v>1549</v>
      </c>
      <c r="F48" s="496" t="s">
        <v>1553</v>
      </c>
      <c r="G48" s="403">
        <f>G49</f>
        <v>0</v>
      </c>
    </row>
    <row r="49" spans="1:7" ht="14.4" hidden="1" x14ac:dyDescent="0.3">
      <c r="A49" s="1123">
        <f>'1B-Infra zonder forfait'!B135</f>
        <v>0</v>
      </c>
      <c r="B49" s="1124"/>
      <c r="C49" s="1124"/>
      <c r="D49" s="1124"/>
      <c r="E49" s="484">
        <f>'1B-Infra zonder forfait'!E135</f>
        <v>0</v>
      </c>
      <c r="F49" s="497">
        <f>'1B-Infra zonder forfait'!F135</f>
        <v>0</v>
      </c>
      <c r="G49" s="403">
        <f>IF(F49&gt;0,1,0)</f>
        <v>0</v>
      </c>
    </row>
    <row r="50" spans="1:7" ht="14.4" hidden="1" x14ac:dyDescent="0.3">
      <c r="A50" s="1118">
        <f>'1B-Infra zonder forfait'!B136</f>
        <v>0</v>
      </c>
      <c r="B50" s="1119"/>
      <c r="C50" s="1119"/>
      <c r="D50" s="1119"/>
      <c r="E50" s="487">
        <f>'1B-Infra zonder forfait'!E136</f>
        <v>0</v>
      </c>
      <c r="F50" s="499">
        <f>'1B-Infra zonder forfait'!F136</f>
        <v>0</v>
      </c>
      <c r="G50" s="403">
        <f t="shared" ref="G50:G67" si="1">IF(F50&gt;0,1,0)</f>
        <v>0</v>
      </c>
    </row>
    <row r="51" spans="1:7" ht="14.4" hidden="1" x14ac:dyDescent="0.3">
      <c r="A51" s="1118">
        <f>'1B-Infra zonder forfait'!B137</f>
        <v>0</v>
      </c>
      <c r="B51" s="1119"/>
      <c r="C51" s="1119"/>
      <c r="D51" s="1119"/>
      <c r="E51" s="487">
        <f>'1B-Infra zonder forfait'!E137</f>
        <v>0</v>
      </c>
      <c r="F51" s="499">
        <f>'1B-Infra zonder forfait'!F137</f>
        <v>0</v>
      </c>
      <c r="G51" s="403">
        <f t="shared" si="1"/>
        <v>0</v>
      </c>
    </row>
    <row r="52" spans="1:7" ht="14.4" hidden="1" x14ac:dyDescent="0.3">
      <c r="A52" s="1118">
        <f>'1B-Infra zonder forfait'!B138</f>
        <v>0</v>
      </c>
      <c r="B52" s="1119"/>
      <c r="C52" s="1119"/>
      <c r="D52" s="1119"/>
      <c r="E52" s="487">
        <f>'1B-Infra zonder forfait'!E138</f>
        <v>0</v>
      </c>
      <c r="F52" s="499">
        <f>'1B-Infra zonder forfait'!F138</f>
        <v>0</v>
      </c>
      <c r="G52" s="403">
        <f t="shared" si="1"/>
        <v>0</v>
      </c>
    </row>
    <row r="53" spans="1:7" ht="14.4" hidden="1" x14ac:dyDescent="0.3">
      <c r="A53" s="1118">
        <f>'1B-Infra zonder forfait'!B139</f>
        <v>0</v>
      </c>
      <c r="B53" s="1119"/>
      <c r="C53" s="1119"/>
      <c r="D53" s="1119"/>
      <c r="E53" s="487">
        <f>'1B-Infra zonder forfait'!E139</f>
        <v>0</v>
      </c>
      <c r="F53" s="499">
        <f>'1B-Infra zonder forfait'!F139</f>
        <v>0</v>
      </c>
      <c r="G53" s="403">
        <f t="shared" si="1"/>
        <v>0</v>
      </c>
    </row>
    <row r="54" spans="1:7" ht="14.4" hidden="1" x14ac:dyDescent="0.3">
      <c r="A54" s="1118">
        <f>'1B-Infra zonder forfait'!B140</f>
        <v>0</v>
      </c>
      <c r="B54" s="1119"/>
      <c r="C54" s="1119"/>
      <c r="D54" s="1119"/>
      <c r="E54" s="487">
        <f>'1B-Infra zonder forfait'!E140</f>
        <v>0</v>
      </c>
      <c r="F54" s="499">
        <f>'1B-Infra zonder forfait'!F140</f>
        <v>0</v>
      </c>
      <c r="G54" s="403">
        <f t="shared" si="1"/>
        <v>0</v>
      </c>
    </row>
    <row r="55" spans="1:7" ht="14.4" hidden="1" x14ac:dyDescent="0.3">
      <c r="A55" s="1118">
        <f>'1B-Infra zonder forfait'!B141</f>
        <v>0</v>
      </c>
      <c r="B55" s="1119"/>
      <c r="C55" s="1119"/>
      <c r="D55" s="1119"/>
      <c r="E55" s="487">
        <f>'1B-Infra zonder forfait'!E141</f>
        <v>0</v>
      </c>
      <c r="F55" s="499">
        <f>'1B-Infra zonder forfait'!F141</f>
        <v>0</v>
      </c>
      <c r="G55" s="403">
        <f t="shared" si="1"/>
        <v>0</v>
      </c>
    </row>
    <row r="56" spans="1:7" ht="14.4" hidden="1" x14ac:dyDescent="0.3">
      <c r="A56" s="1118">
        <f>'1B-Infra zonder forfait'!B142</f>
        <v>0</v>
      </c>
      <c r="B56" s="1119"/>
      <c r="C56" s="1119"/>
      <c r="D56" s="1119"/>
      <c r="E56" s="487">
        <f>'1B-Infra zonder forfait'!E142</f>
        <v>0</v>
      </c>
      <c r="F56" s="499">
        <f>'1B-Infra zonder forfait'!F142</f>
        <v>0</v>
      </c>
      <c r="G56" s="403">
        <f t="shared" si="1"/>
        <v>0</v>
      </c>
    </row>
    <row r="57" spans="1:7" ht="14.4" hidden="1" x14ac:dyDescent="0.3">
      <c r="A57" s="1118">
        <f>'1B-Infra zonder forfait'!B143</f>
        <v>0</v>
      </c>
      <c r="B57" s="1119"/>
      <c r="C57" s="1119"/>
      <c r="D57" s="1119"/>
      <c r="E57" s="487">
        <f>'1B-Infra zonder forfait'!E143</f>
        <v>0</v>
      </c>
      <c r="F57" s="499">
        <f>'1B-Infra zonder forfait'!F143</f>
        <v>0</v>
      </c>
      <c r="G57" s="403">
        <f t="shared" si="1"/>
        <v>0</v>
      </c>
    </row>
    <row r="58" spans="1:7" ht="14.4" hidden="1" x14ac:dyDescent="0.3">
      <c r="A58" s="1118">
        <f>'1B-Infra zonder forfait'!B144</f>
        <v>0</v>
      </c>
      <c r="B58" s="1119"/>
      <c r="C58" s="1119"/>
      <c r="D58" s="1119"/>
      <c r="E58" s="487">
        <f>'1B-Infra zonder forfait'!E144</f>
        <v>0</v>
      </c>
      <c r="F58" s="499">
        <f>'1B-Infra zonder forfait'!F144</f>
        <v>0</v>
      </c>
      <c r="G58" s="403">
        <f t="shared" si="1"/>
        <v>0</v>
      </c>
    </row>
    <row r="59" spans="1:7" ht="14.4" hidden="1" x14ac:dyDescent="0.3">
      <c r="A59" s="1118">
        <f>'1B-Infra zonder forfait'!B145</f>
        <v>0</v>
      </c>
      <c r="B59" s="1119"/>
      <c r="C59" s="1119"/>
      <c r="D59" s="1119"/>
      <c r="E59" s="487">
        <f>'1B-Infra zonder forfait'!E145</f>
        <v>0</v>
      </c>
      <c r="F59" s="499">
        <f>'1B-Infra zonder forfait'!F145</f>
        <v>0</v>
      </c>
      <c r="G59" s="403">
        <f t="shared" si="1"/>
        <v>0</v>
      </c>
    </row>
    <row r="60" spans="1:7" ht="14.4" hidden="1" x14ac:dyDescent="0.3">
      <c r="A60" s="1118">
        <f>'1B-Infra zonder forfait'!B146</f>
        <v>0</v>
      </c>
      <c r="B60" s="1119"/>
      <c r="C60" s="1119"/>
      <c r="D60" s="1119"/>
      <c r="E60" s="487">
        <f>'1B-Infra zonder forfait'!E146</f>
        <v>0</v>
      </c>
      <c r="F60" s="499">
        <f>'1B-Infra zonder forfait'!F146</f>
        <v>0</v>
      </c>
      <c r="G60" s="403">
        <f t="shared" si="1"/>
        <v>0</v>
      </c>
    </row>
    <row r="61" spans="1:7" ht="14.4" hidden="1" x14ac:dyDescent="0.3">
      <c r="A61" s="1118">
        <f>'1B-Infra zonder forfait'!B147</f>
        <v>0</v>
      </c>
      <c r="B61" s="1119"/>
      <c r="C61" s="1119"/>
      <c r="D61" s="1119"/>
      <c r="E61" s="487">
        <f>'1B-Infra zonder forfait'!E147</f>
        <v>0</v>
      </c>
      <c r="F61" s="499">
        <f>'1B-Infra zonder forfait'!F147</f>
        <v>0</v>
      </c>
      <c r="G61" s="403">
        <f t="shared" si="1"/>
        <v>0</v>
      </c>
    </row>
    <row r="62" spans="1:7" ht="14.4" hidden="1" x14ac:dyDescent="0.3">
      <c r="A62" s="1118">
        <f>'1B-Infra zonder forfait'!B148</f>
        <v>0</v>
      </c>
      <c r="B62" s="1119"/>
      <c r="C62" s="1119"/>
      <c r="D62" s="1119"/>
      <c r="E62" s="487">
        <f>'1B-Infra zonder forfait'!E148</f>
        <v>0</v>
      </c>
      <c r="F62" s="499">
        <f>'1B-Infra zonder forfait'!F148</f>
        <v>0</v>
      </c>
      <c r="G62" s="403">
        <f t="shared" si="1"/>
        <v>0</v>
      </c>
    </row>
    <row r="63" spans="1:7" ht="14.4" hidden="1" x14ac:dyDescent="0.3">
      <c r="A63" s="1118">
        <f>'1B-Infra zonder forfait'!B149</f>
        <v>0</v>
      </c>
      <c r="B63" s="1119"/>
      <c r="C63" s="1119"/>
      <c r="D63" s="1119"/>
      <c r="E63" s="487">
        <f>'1B-Infra zonder forfait'!E149</f>
        <v>0</v>
      </c>
      <c r="F63" s="499">
        <f>'1B-Infra zonder forfait'!F149</f>
        <v>0</v>
      </c>
      <c r="G63" s="403">
        <f t="shared" si="1"/>
        <v>0</v>
      </c>
    </row>
    <row r="64" spans="1:7" ht="14.4" hidden="1" x14ac:dyDescent="0.3">
      <c r="A64" s="1118">
        <f>'1B-Infra zonder forfait'!B150</f>
        <v>0</v>
      </c>
      <c r="B64" s="1119"/>
      <c r="C64" s="1119"/>
      <c r="D64" s="1119"/>
      <c r="E64" s="487">
        <f>'1B-Infra zonder forfait'!E150</f>
        <v>0</v>
      </c>
      <c r="F64" s="499">
        <f>'1B-Infra zonder forfait'!F150</f>
        <v>0</v>
      </c>
      <c r="G64" s="403">
        <f t="shared" si="1"/>
        <v>0</v>
      </c>
    </row>
    <row r="65" spans="1:7" ht="14.4" hidden="1" x14ac:dyDescent="0.3">
      <c r="A65" s="1118">
        <f>'1B-Infra zonder forfait'!B151</f>
        <v>0</v>
      </c>
      <c r="B65" s="1119"/>
      <c r="C65" s="1119"/>
      <c r="D65" s="1119"/>
      <c r="E65" s="487">
        <f>'1B-Infra zonder forfait'!E151</f>
        <v>0</v>
      </c>
      <c r="F65" s="499">
        <f>'1B-Infra zonder forfait'!F151</f>
        <v>0</v>
      </c>
      <c r="G65" s="403">
        <f t="shared" si="1"/>
        <v>0</v>
      </c>
    </row>
    <row r="66" spans="1:7" ht="14.4" hidden="1" x14ac:dyDescent="0.3">
      <c r="A66" s="1118">
        <f>'1B-Infra zonder forfait'!B152</f>
        <v>0</v>
      </c>
      <c r="B66" s="1119"/>
      <c r="C66" s="1119"/>
      <c r="D66" s="1119"/>
      <c r="E66" s="487">
        <f>'1B-Infra zonder forfait'!E152</f>
        <v>0</v>
      </c>
      <c r="F66" s="499">
        <f>'1B-Infra zonder forfait'!F152</f>
        <v>0</v>
      </c>
      <c r="G66" s="403">
        <f t="shared" si="1"/>
        <v>0</v>
      </c>
    </row>
    <row r="67" spans="1:7" ht="15" hidden="1" thickBot="1" x14ac:dyDescent="0.35">
      <c r="A67" s="1138">
        <f>'1B-Infra zonder forfait'!B153</f>
        <v>0</v>
      </c>
      <c r="B67" s="1139"/>
      <c r="C67" s="1139"/>
      <c r="D67" s="1139"/>
      <c r="E67" s="488">
        <f>'1B-Infra zonder forfait'!E153</f>
        <v>0</v>
      </c>
      <c r="F67" s="500">
        <f>'1B-Infra zonder forfait'!F153</f>
        <v>0</v>
      </c>
      <c r="G67" s="403">
        <f t="shared" si="1"/>
        <v>0</v>
      </c>
    </row>
    <row r="68" spans="1:7" hidden="1" x14ac:dyDescent="0.25">
      <c r="G68" s="403">
        <f>G49</f>
        <v>0</v>
      </c>
    </row>
    <row r="69" spans="1:7" hidden="1" x14ac:dyDescent="0.25">
      <c r="A69" s="408" t="s">
        <v>1678</v>
      </c>
      <c r="G69" s="403">
        <f>IF(SUM(F72:F90)&gt;0,1,0)</f>
        <v>0</v>
      </c>
    </row>
    <row r="70" spans="1:7" hidden="1" x14ac:dyDescent="0.25">
      <c r="G70" s="403">
        <f>G69</f>
        <v>0</v>
      </c>
    </row>
    <row r="71" spans="1:7" ht="15" hidden="1" thickBot="1" x14ac:dyDescent="0.35">
      <c r="A71" s="1120" t="s">
        <v>1548</v>
      </c>
      <c r="B71" s="1121"/>
      <c r="C71" s="1121"/>
      <c r="D71" s="1122"/>
      <c r="E71" s="489" t="s">
        <v>1549</v>
      </c>
      <c r="F71" s="496" t="s">
        <v>1756</v>
      </c>
      <c r="G71" s="403">
        <f>G72</f>
        <v>0</v>
      </c>
    </row>
    <row r="72" spans="1:7" ht="14.4" hidden="1" x14ac:dyDescent="0.3">
      <c r="A72" s="1123">
        <f>'Formulier 2'!B169</f>
        <v>0</v>
      </c>
      <c r="B72" s="1124"/>
      <c r="C72" s="1124"/>
      <c r="D72" s="1124"/>
      <c r="E72" s="484">
        <f>'Formulier 2'!E169</f>
        <v>0</v>
      </c>
      <c r="F72" s="497">
        <f>'Formulier 2'!F169</f>
        <v>0</v>
      </c>
      <c r="G72" s="403">
        <f>IF(F72&gt;0,1,0)</f>
        <v>0</v>
      </c>
    </row>
    <row r="73" spans="1:7" ht="14.4" hidden="1" x14ac:dyDescent="0.3">
      <c r="A73" s="1118">
        <f>'Formulier 2'!B170</f>
        <v>0</v>
      </c>
      <c r="B73" s="1119"/>
      <c r="C73" s="1119"/>
      <c r="D73" s="1119"/>
      <c r="E73" s="487">
        <f>'Formulier 2'!E170</f>
        <v>0</v>
      </c>
      <c r="F73" s="499">
        <f>'Formulier 2'!F170</f>
        <v>0</v>
      </c>
      <c r="G73" s="403">
        <f t="shared" ref="G73:G90" si="2">IF(F73&gt;0,1,0)</f>
        <v>0</v>
      </c>
    </row>
    <row r="74" spans="1:7" ht="14.4" hidden="1" x14ac:dyDescent="0.3">
      <c r="A74" s="1125">
        <f>'Formulier 2'!B171</f>
        <v>0</v>
      </c>
      <c r="B74" s="1126"/>
      <c r="C74" s="1126"/>
      <c r="D74" s="1126"/>
      <c r="E74" s="487">
        <f>'Formulier 2'!E171</f>
        <v>0</v>
      </c>
      <c r="F74" s="499">
        <f>'Formulier 2'!F171</f>
        <v>0</v>
      </c>
      <c r="G74" s="403">
        <f t="shared" si="2"/>
        <v>0</v>
      </c>
    </row>
    <row r="75" spans="1:7" ht="14.4" hidden="1" x14ac:dyDescent="0.3">
      <c r="A75" s="1118">
        <f>'Formulier 2'!B172</f>
        <v>0</v>
      </c>
      <c r="B75" s="1119"/>
      <c r="C75" s="1119"/>
      <c r="D75" s="1119"/>
      <c r="E75" s="487">
        <f>'Formulier 2'!E172</f>
        <v>0</v>
      </c>
      <c r="F75" s="499">
        <f>'Formulier 2'!F172</f>
        <v>0</v>
      </c>
      <c r="G75" s="403">
        <f t="shared" si="2"/>
        <v>0</v>
      </c>
    </row>
    <row r="76" spans="1:7" ht="14.4" hidden="1" x14ac:dyDescent="0.3">
      <c r="A76" s="1118">
        <f>'Formulier 2'!B173</f>
        <v>0</v>
      </c>
      <c r="B76" s="1119"/>
      <c r="C76" s="1119"/>
      <c r="D76" s="1119"/>
      <c r="E76" s="487">
        <f>'Formulier 2'!E173</f>
        <v>0</v>
      </c>
      <c r="F76" s="499">
        <f>'Formulier 2'!F173</f>
        <v>0</v>
      </c>
      <c r="G76" s="403">
        <f t="shared" si="2"/>
        <v>0</v>
      </c>
    </row>
    <row r="77" spans="1:7" ht="14.4" hidden="1" x14ac:dyDescent="0.3">
      <c r="A77" s="1118">
        <f>'Formulier 2'!B174</f>
        <v>0</v>
      </c>
      <c r="B77" s="1119"/>
      <c r="C77" s="1119"/>
      <c r="D77" s="1119"/>
      <c r="E77" s="487">
        <f>'Formulier 2'!E174</f>
        <v>0</v>
      </c>
      <c r="F77" s="499">
        <f>'Formulier 2'!F174</f>
        <v>0</v>
      </c>
      <c r="G77" s="403">
        <f t="shared" si="2"/>
        <v>0</v>
      </c>
    </row>
    <row r="78" spans="1:7" ht="14.4" hidden="1" x14ac:dyDescent="0.3">
      <c r="A78" s="1118">
        <f>'Formulier 2'!B175</f>
        <v>0</v>
      </c>
      <c r="B78" s="1119"/>
      <c r="C78" s="1119"/>
      <c r="D78" s="1119"/>
      <c r="E78" s="487">
        <f>'Formulier 2'!E175</f>
        <v>0</v>
      </c>
      <c r="F78" s="499">
        <f>'Formulier 2'!F175</f>
        <v>0</v>
      </c>
      <c r="G78" s="403">
        <f t="shared" si="2"/>
        <v>0</v>
      </c>
    </row>
    <row r="79" spans="1:7" ht="14.4" hidden="1" x14ac:dyDescent="0.3">
      <c r="A79" s="1118">
        <f>'Formulier 2'!B176</f>
        <v>0</v>
      </c>
      <c r="B79" s="1119"/>
      <c r="C79" s="1119"/>
      <c r="D79" s="1119"/>
      <c r="E79" s="487">
        <f>'Formulier 2'!E176</f>
        <v>0</v>
      </c>
      <c r="F79" s="499">
        <f>'Formulier 2'!F176</f>
        <v>0</v>
      </c>
      <c r="G79" s="403">
        <f t="shared" si="2"/>
        <v>0</v>
      </c>
    </row>
    <row r="80" spans="1:7" ht="14.4" hidden="1" x14ac:dyDescent="0.3">
      <c r="A80" s="1118">
        <f>'Formulier 2'!B177</f>
        <v>0</v>
      </c>
      <c r="B80" s="1119"/>
      <c r="C80" s="1119"/>
      <c r="D80" s="1119"/>
      <c r="E80" s="487">
        <f>'Formulier 2'!E177</f>
        <v>0</v>
      </c>
      <c r="F80" s="499">
        <f>'Formulier 2'!F177</f>
        <v>0</v>
      </c>
      <c r="G80" s="403">
        <f t="shared" si="2"/>
        <v>0</v>
      </c>
    </row>
    <row r="81" spans="1:7" ht="14.4" hidden="1" x14ac:dyDescent="0.3">
      <c r="A81" s="1118">
        <f>'Formulier 2'!B178</f>
        <v>0</v>
      </c>
      <c r="B81" s="1119"/>
      <c r="C81" s="1119"/>
      <c r="D81" s="1119"/>
      <c r="E81" s="487">
        <f>'Formulier 2'!E178</f>
        <v>0</v>
      </c>
      <c r="F81" s="499">
        <f>'Formulier 2'!F178</f>
        <v>0</v>
      </c>
      <c r="G81" s="403">
        <f t="shared" si="2"/>
        <v>0</v>
      </c>
    </row>
    <row r="82" spans="1:7" ht="14.4" hidden="1" x14ac:dyDescent="0.3">
      <c r="A82" s="1118">
        <f>'Formulier 2'!B179</f>
        <v>0</v>
      </c>
      <c r="B82" s="1119"/>
      <c r="C82" s="1119"/>
      <c r="D82" s="1119"/>
      <c r="E82" s="487">
        <f>'Formulier 2'!E179</f>
        <v>0</v>
      </c>
      <c r="F82" s="499">
        <f>'Formulier 2'!F179</f>
        <v>0</v>
      </c>
      <c r="G82" s="403">
        <f t="shared" si="2"/>
        <v>0</v>
      </c>
    </row>
    <row r="83" spans="1:7" ht="14.4" hidden="1" x14ac:dyDescent="0.3">
      <c r="A83" s="1118">
        <f>'Formulier 2'!B180</f>
        <v>0</v>
      </c>
      <c r="B83" s="1119"/>
      <c r="C83" s="1119"/>
      <c r="D83" s="1119"/>
      <c r="E83" s="487">
        <f>'Formulier 2'!E180</f>
        <v>0</v>
      </c>
      <c r="F83" s="499">
        <f>'Formulier 2'!F180</f>
        <v>0</v>
      </c>
      <c r="G83" s="403">
        <f t="shared" si="2"/>
        <v>0</v>
      </c>
    </row>
    <row r="84" spans="1:7" ht="14.4" hidden="1" x14ac:dyDescent="0.3">
      <c r="A84" s="1118">
        <f>'Formulier 2'!B181</f>
        <v>0</v>
      </c>
      <c r="B84" s="1119"/>
      <c r="C84" s="1119"/>
      <c r="D84" s="1119"/>
      <c r="E84" s="487">
        <f>'Formulier 2'!E181</f>
        <v>0</v>
      </c>
      <c r="F84" s="499">
        <f>'Formulier 2'!F181</f>
        <v>0</v>
      </c>
      <c r="G84" s="403">
        <f t="shared" si="2"/>
        <v>0</v>
      </c>
    </row>
    <row r="85" spans="1:7" ht="14.4" hidden="1" x14ac:dyDescent="0.3">
      <c r="A85" s="1118">
        <f>'Formulier 2'!B182</f>
        <v>0</v>
      </c>
      <c r="B85" s="1119"/>
      <c r="C85" s="1119"/>
      <c r="D85" s="1119"/>
      <c r="E85" s="487">
        <f>'Formulier 2'!E182</f>
        <v>0</v>
      </c>
      <c r="F85" s="499">
        <f>'Formulier 2'!F182</f>
        <v>0</v>
      </c>
      <c r="G85" s="403">
        <f t="shared" si="2"/>
        <v>0</v>
      </c>
    </row>
    <row r="86" spans="1:7" ht="14.4" hidden="1" x14ac:dyDescent="0.3">
      <c r="A86" s="1118">
        <f>'Formulier 2'!B183</f>
        <v>0</v>
      </c>
      <c r="B86" s="1119"/>
      <c r="C86" s="1119"/>
      <c r="D86" s="1119"/>
      <c r="E86" s="487">
        <f>'Formulier 2'!E183</f>
        <v>0</v>
      </c>
      <c r="F86" s="499">
        <f>'Formulier 2'!F183</f>
        <v>0</v>
      </c>
      <c r="G86" s="403">
        <f t="shared" si="2"/>
        <v>0</v>
      </c>
    </row>
    <row r="87" spans="1:7" ht="14.4" hidden="1" x14ac:dyDescent="0.3">
      <c r="A87" s="1118">
        <f>'Formulier 2'!B184</f>
        <v>0</v>
      </c>
      <c r="B87" s="1119"/>
      <c r="C87" s="1119"/>
      <c r="D87" s="1119"/>
      <c r="E87" s="487">
        <f>'Formulier 2'!E184</f>
        <v>0</v>
      </c>
      <c r="F87" s="499">
        <f>'Formulier 2'!F184</f>
        <v>0</v>
      </c>
      <c r="G87" s="403">
        <f t="shared" si="2"/>
        <v>0</v>
      </c>
    </row>
    <row r="88" spans="1:7" ht="14.4" hidden="1" x14ac:dyDescent="0.3">
      <c r="A88" s="1118">
        <f>'Formulier 2'!B185</f>
        <v>0</v>
      </c>
      <c r="B88" s="1119"/>
      <c r="C88" s="1119"/>
      <c r="D88" s="1119"/>
      <c r="E88" s="487">
        <f>'Formulier 2'!E185</f>
        <v>0</v>
      </c>
      <c r="F88" s="499">
        <f>'Formulier 2'!F185</f>
        <v>0</v>
      </c>
      <c r="G88" s="403">
        <f t="shared" si="2"/>
        <v>0</v>
      </c>
    </row>
    <row r="89" spans="1:7" ht="14.4" hidden="1" x14ac:dyDescent="0.3">
      <c r="A89" s="1118">
        <f>'Formulier 2'!B186</f>
        <v>0</v>
      </c>
      <c r="B89" s="1119"/>
      <c r="C89" s="1119"/>
      <c r="D89" s="1119"/>
      <c r="E89" s="487">
        <f>'Formulier 2'!E186</f>
        <v>0</v>
      </c>
      <c r="F89" s="499">
        <f>'Formulier 2'!F186</f>
        <v>0</v>
      </c>
      <c r="G89" s="403">
        <f t="shared" si="2"/>
        <v>0</v>
      </c>
    </row>
    <row r="90" spans="1:7" ht="15" hidden="1" thickBot="1" x14ac:dyDescent="0.35">
      <c r="A90" s="1138">
        <f>'Formulier 2'!B187</f>
        <v>0</v>
      </c>
      <c r="B90" s="1139"/>
      <c r="C90" s="1139"/>
      <c r="D90" s="1139"/>
      <c r="E90" s="488">
        <f>'Formulier 2'!E187</f>
        <v>0</v>
      </c>
      <c r="F90" s="500">
        <f>'Formulier 2'!F187</f>
        <v>0</v>
      </c>
      <c r="G90" s="403">
        <f t="shared" si="2"/>
        <v>0</v>
      </c>
    </row>
    <row r="91" spans="1:7" hidden="1" x14ac:dyDescent="0.25">
      <c r="A91" s="403" t="s">
        <v>1683</v>
      </c>
      <c r="G91" s="403">
        <f>G72</f>
        <v>0</v>
      </c>
    </row>
    <row r="92" spans="1:7" hidden="1" x14ac:dyDescent="0.25">
      <c r="G92" s="403">
        <f>G91</f>
        <v>0</v>
      </c>
    </row>
    <row r="93" spans="1:7" hidden="1" x14ac:dyDescent="0.25">
      <c r="A93" s="408" t="s">
        <v>1554</v>
      </c>
      <c r="G93" s="403">
        <f>IF(OR(G98=1,G128=1,G157=1),1,0)</f>
        <v>0</v>
      </c>
    </row>
    <row r="94" spans="1:7" hidden="1" x14ac:dyDescent="0.25">
      <c r="G94" s="403">
        <f>G93</f>
        <v>0</v>
      </c>
    </row>
    <row r="95" spans="1:7" hidden="1" x14ac:dyDescent="0.25">
      <c r="A95" s="408" t="s">
        <v>1547</v>
      </c>
      <c r="G95" s="403">
        <f>IF(SUM(D98:D116)&gt;0,1,0)</f>
        <v>0</v>
      </c>
    </row>
    <row r="96" spans="1:7" hidden="1" x14ac:dyDescent="0.25">
      <c r="G96" s="403">
        <f>G95</f>
        <v>0</v>
      </c>
    </row>
    <row r="97" spans="1:7" ht="37.200000000000003" hidden="1" thickBot="1" x14ac:dyDescent="0.35">
      <c r="A97" s="1120" t="s">
        <v>1548</v>
      </c>
      <c r="B97" s="1122"/>
      <c r="C97" s="432" t="s">
        <v>1549</v>
      </c>
      <c r="D97" s="433" t="s">
        <v>1555</v>
      </c>
      <c r="E97" s="490" t="s">
        <v>1556</v>
      </c>
      <c r="F97" s="501" t="s">
        <v>1759</v>
      </c>
      <c r="G97" s="403">
        <f>G98</f>
        <v>0</v>
      </c>
    </row>
    <row r="98" spans="1:7" ht="14.4" hidden="1" x14ac:dyDescent="0.3">
      <c r="A98" s="1140">
        <f>'1A-Infrastructuur met forfait'!B175</f>
        <v>0</v>
      </c>
      <c r="B98" s="1141"/>
      <c r="C98" s="417">
        <f>'1A-Infrastructuur met forfait'!E175</f>
        <v>0</v>
      </c>
      <c r="D98" s="418">
        <f>'1A-Infrastructuur met forfait'!I175</f>
        <v>0</v>
      </c>
      <c r="E98" s="484">
        <f>'1A-Infrastructuur met forfait'!J175</f>
        <v>0</v>
      </c>
      <c r="F98" s="502" t="str">
        <f>IF(C98&gt;0,IF('1A-Infrastructuur met forfait'!G175=0,1,2),"")</f>
        <v/>
      </c>
      <c r="G98" s="403">
        <f>IF(D98&gt;0,1,0)</f>
        <v>0</v>
      </c>
    </row>
    <row r="99" spans="1:7" ht="14.4" hidden="1" x14ac:dyDescent="0.3">
      <c r="A99" s="1118">
        <f>'1A-Infrastructuur met forfait'!B176</f>
        <v>0</v>
      </c>
      <c r="B99" s="852"/>
      <c r="C99" s="419">
        <f>'1A-Infrastructuur met forfait'!E176</f>
        <v>0</v>
      </c>
      <c r="D99" s="420">
        <f>'1A-Infrastructuur met forfait'!I176</f>
        <v>0</v>
      </c>
      <c r="E99" s="487">
        <f>'1A-Infrastructuur met forfait'!J176</f>
        <v>0</v>
      </c>
      <c r="F99" s="503" t="str">
        <f>IF(C99&gt;0,IF('1A-Infrastructuur met forfait'!G176=0,1,2),"")</f>
        <v/>
      </c>
      <c r="G99" s="403">
        <f t="shared" ref="G99:G116" si="3">IF(D99&gt;0,1,0)</f>
        <v>0</v>
      </c>
    </row>
    <row r="100" spans="1:7" ht="14.4" hidden="1" x14ac:dyDescent="0.3">
      <c r="A100" s="1118">
        <f>'1A-Infrastructuur met forfait'!B177</f>
        <v>0</v>
      </c>
      <c r="B100" s="852"/>
      <c r="C100" s="419">
        <f>'1A-Infrastructuur met forfait'!E177</f>
        <v>0</v>
      </c>
      <c r="D100" s="420">
        <f>'1A-Infrastructuur met forfait'!I177</f>
        <v>0</v>
      </c>
      <c r="E100" s="487">
        <f>'1A-Infrastructuur met forfait'!J177</f>
        <v>0</v>
      </c>
      <c r="F100" s="503" t="str">
        <f>IF(C100&gt;0,IF('1A-Infrastructuur met forfait'!G177=0,1,2),"")</f>
        <v/>
      </c>
      <c r="G100" s="403">
        <f t="shared" si="3"/>
        <v>0</v>
      </c>
    </row>
    <row r="101" spans="1:7" ht="14.4" hidden="1" x14ac:dyDescent="0.3">
      <c r="A101" s="1118">
        <f>'1A-Infrastructuur met forfait'!B178</f>
        <v>0</v>
      </c>
      <c r="B101" s="852"/>
      <c r="C101" s="419">
        <f>'1A-Infrastructuur met forfait'!E178</f>
        <v>0</v>
      </c>
      <c r="D101" s="420">
        <f>'1A-Infrastructuur met forfait'!I178</f>
        <v>0</v>
      </c>
      <c r="E101" s="487">
        <f>'1A-Infrastructuur met forfait'!J178</f>
        <v>0</v>
      </c>
      <c r="F101" s="503" t="str">
        <f>IF(C101&gt;0,IF('1A-Infrastructuur met forfait'!G178=0,1,2),"")</f>
        <v/>
      </c>
      <c r="G101" s="403">
        <f t="shared" si="3"/>
        <v>0</v>
      </c>
    </row>
    <row r="102" spans="1:7" ht="14.4" hidden="1" x14ac:dyDescent="0.3">
      <c r="A102" s="1118">
        <f>'1A-Infrastructuur met forfait'!B179</f>
        <v>0</v>
      </c>
      <c r="B102" s="852"/>
      <c r="C102" s="419">
        <f>'1A-Infrastructuur met forfait'!E179</f>
        <v>0</v>
      </c>
      <c r="D102" s="420">
        <f>'1A-Infrastructuur met forfait'!I179</f>
        <v>0</v>
      </c>
      <c r="E102" s="487">
        <f>'1A-Infrastructuur met forfait'!J179</f>
        <v>0</v>
      </c>
      <c r="F102" s="503" t="str">
        <f>IF(C102&gt;0,IF('1A-Infrastructuur met forfait'!G179=0,1,2),"")</f>
        <v/>
      </c>
      <c r="G102" s="403">
        <f t="shared" si="3"/>
        <v>0</v>
      </c>
    </row>
    <row r="103" spans="1:7" ht="14.4" hidden="1" x14ac:dyDescent="0.3">
      <c r="A103" s="1118">
        <f>'1A-Infrastructuur met forfait'!B180</f>
        <v>0</v>
      </c>
      <c r="B103" s="852"/>
      <c r="C103" s="419">
        <f>'1A-Infrastructuur met forfait'!E180</f>
        <v>0</v>
      </c>
      <c r="D103" s="420">
        <f>'1A-Infrastructuur met forfait'!I180</f>
        <v>0</v>
      </c>
      <c r="E103" s="487">
        <f>'1A-Infrastructuur met forfait'!J180</f>
        <v>0</v>
      </c>
      <c r="F103" s="503" t="str">
        <f>IF(C103&gt;0,IF('1A-Infrastructuur met forfait'!G180=0,1,2),"")</f>
        <v/>
      </c>
      <c r="G103" s="403">
        <f t="shared" si="3"/>
        <v>0</v>
      </c>
    </row>
    <row r="104" spans="1:7" ht="14.4" hidden="1" x14ac:dyDescent="0.3">
      <c r="A104" s="1118">
        <f>'1A-Infrastructuur met forfait'!B181</f>
        <v>0</v>
      </c>
      <c r="B104" s="852"/>
      <c r="C104" s="419">
        <f>'1A-Infrastructuur met forfait'!E181</f>
        <v>0</v>
      </c>
      <c r="D104" s="420">
        <f>'1A-Infrastructuur met forfait'!I181</f>
        <v>0</v>
      </c>
      <c r="E104" s="487">
        <f>'1A-Infrastructuur met forfait'!J181</f>
        <v>0</v>
      </c>
      <c r="F104" s="503" t="str">
        <f>IF(C104&gt;0,IF('1A-Infrastructuur met forfait'!G181=0,1,2),"")</f>
        <v/>
      </c>
      <c r="G104" s="403">
        <f t="shared" si="3"/>
        <v>0</v>
      </c>
    </row>
    <row r="105" spans="1:7" ht="14.4" hidden="1" x14ac:dyDescent="0.3">
      <c r="A105" s="1118">
        <f>'1A-Infrastructuur met forfait'!B182</f>
        <v>0</v>
      </c>
      <c r="B105" s="852"/>
      <c r="C105" s="419">
        <f>'1A-Infrastructuur met forfait'!E182</f>
        <v>0</v>
      </c>
      <c r="D105" s="420">
        <f>'1A-Infrastructuur met forfait'!I182</f>
        <v>0</v>
      </c>
      <c r="E105" s="487">
        <f>'1A-Infrastructuur met forfait'!J182</f>
        <v>0</v>
      </c>
      <c r="F105" s="503" t="str">
        <f>IF(C105&gt;0,IF('1A-Infrastructuur met forfait'!G182=0,1,2),"")</f>
        <v/>
      </c>
      <c r="G105" s="403">
        <f t="shared" si="3"/>
        <v>0</v>
      </c>
    </row>
    <row r="106" spans="1:7" ht="14.4" hidden="1" x14ac:dyDescent="0.3">
      <c r="A106" s="1118">
        <f>'1A-Infrastructuur met forfait'!B183</f>
        <v>0</v>
      </c>
      <c r="B106" s="852"/>
      <c r="C106" s="419">
        <f>'1A-Infrastructuur met forfait'!E183</f>
        <v>0</v>
      </c>
      <c r="D106" s="420">
        <f>'1A-Infrastructuur met forfait'!I183</f>
        <v>0</v>
      </c>
      <c r="E106" s="487">
        <f>'1A-Infrastructuur met forfait'!J183</f>
        <v>0</v>
      </c>
      <c r="F106" s="503" t="str">
        <f>IF(C106&gt;0,IF('1A-Infrastructuur met forfait'!G183=0,1,2),"")</f>
        <v/>
      </c>
      <c r="G106" s="403">
        <f t="shared" si="3"/>
        <v>0</v>
      </c>
    </row>
    <row r="107" spans="1:7" ht="14.4" hidden="1" x14ac:dyDescent="0.3">
      <c r="A107" s="1118">
        <f>'1A-Infrastructuur met forfait'!B184</f>
        <v>0</v>
      </c>
      <c r="B107" s="852"/>
      <c r="C107" s="419">
        <f>'1A-Infrastructuur met forfait'!E184</f>
        <v>0</v>
      </c>
      <c r="D107" s="420">
        <f>'1A-Infrastructuur met forfait'!I184</f>
        <v>0</v>
      </c>
      <c r="E107" s="487">
        <f>'1A-Infrastructuur met forfait'!J184</f>
        <v>0</v>
      </c>
      <c r="F107" s="503" t="str">
        <f>IF(C107&gt;0,IF('1A-Infrastructuur met forfait'!G184=0,1,2),"")</f>
        <v/>
      </c>
      <c r="G107" s="403">
        <f t="shared" si="3"/>
        <v>0</v>
      </c>
    </row>
    <row r="108" spans="1:7" ht="14.4" hidden="1" x14ac:dyDescent="0.3">
      <c r="A108" s="1118">
        <f>'1A-Infrastructuur met forfait'!B185</f>
        <v>0</v>
      </c>
      <c r="B108" s="852"/>
      <c r="C108" s="419">
        <f>'1A-Infrastructuur met forfait'!E185</f>
        <v>0</v>
      </c>
      <c r="D108" s="420">
        <f>'1A-Infrastructuur met forfait'!I185</f>
        <v>0</v>
      </c>
      <c r="E108" s="487">
        <f>'1A-Infrastructuur met forfait'!J185</f>
        <v>0</v>
      </c>
      <c r="F108" s="503" t="str">
        <f>IF(C108&gt;0,IF('1A-Infrastructuur met forfait'!G185=0,1,2),"")</f>
        <v/>
      </c>
      <c r="G108" s="403">
        <f t="shared" si="3"/>
        <v>0</v>
      </c>
    </row>
    <row r="109" spans="1:7" ht="14.4" hidden="1" x14ac:dyDescent="0.3">
      <c r="A109" s="1118">
        <f>'1A-Infrastructuur met forfait'!B186</f>
        <v>0</v>
      </c>
      <c r="B109" s="852"/>
      <c r="C109" s="419">
        <f>'1A-Infrastructuur met forfait'!E186</f>
        <v>0</v>
      </c>
      <c r="D109" s="420">
        <f>'1A-Infrastructuur met forfait'!I186</f>
        <v>0</v>
      </c>
      <c r="E109" s="487">
        <f>'1A-Infrastructuur met forfait'!J186</f>
        <v>0</v>
      </c>
      <c r="F109" s="503" t="str">
        <f>IF(C109&gt;0,IF('1A-Infrastructuur met forfait'!G186=0,1,2),"")</f>
        <v/>
      </c>
      <c r="G109" s="403">
        <f t="shared" si="3"/>
        <v>0</v>
      </c>
    </row>
    <row r="110" spans="1:7" ht="14.4" hidden="1" x14ac:dyDescent="0.3">
      <c r="A110" s="1118">
        <f>'1A-Infrastructuur met forfait'!B187</f>
        <v>0</v>
      </c>
      <c r="B110" s="852"/>
      <c r="C110" s="419">
        <f>'1A-Infrastructuur met forfait'!E187</f>
        <v>0</v>
      </c>
      <c r="D110" s="420">
        <f>'1A-Infrastructuur met forfait'!I187</f>
        <v>0</v>
      </c>
      <c r="E110" s="487">
        <f>'1A-Infrastructuur met forfait'!J187</f>
        <v>0</v>
      </c>
      <c r="F110" s="503" t="str">
        <f>IF(C110&gt;0,IF('1A-Infrastructuur met forfait'!G187=0,1,2),"")</f>
        <v/>
      </c>
      <c r="G110" s="403">
        <f t="shared" si="3"/>
        <v>0</v>
      </c>
    </row>
    <row r="111" spans="1:7" ht="14.4" hidden="1" x14ac:dyDescent="0.3">
      <c r="A111" s="1118">
        <f>'1A-Infrastructuur met forfait'!B188</f>
        <v>0</v>
      </c>
      <c r="B111" s="852"/>
      <c r="C111" s="419">
        <f>'1A-Infrastructuur met forfait'!E188</f>
        <v>0</v>
      </c>
      <c r="D111" s="420">
        <f>'1A-Infrastructuur met forfait'!I188</f>
        <v>0</v>
      </c>
      <c r="E111" s="487">
        <f>'1A-Infrastructuur met forfait'!J188</f>
        <v>0</v>
      </c>
      <c r="F111" s="503" t="str">
        <f>IF(C111&gt;0,IF('1A-Infrastructuur met forfait'!G188=0,1,2),"")</f>
        <v/>
      </c>
      <c r="G111" s="403">
        <f t="shared" si="3"/>
        <v>0</v>
      </c>
    </row>
    <row r="112" spans="1:7" ht="14.4" hidden="1" x14ac:dyDescent="0.3">
      <c r="A112" s="1118">
        <f>'1A-Infrastructuur met forfait'!B189</f>
        <v>0</v>
      </c>
      <c r="B112" s="852"/>
      <c r="C112" s="419">
        <f>'1A-Infrastructuur met forfait'!E189</f>
        <v>0</v>
      </c>
      <c r="D112" s="420">
        <f>'1A-Infrastructuur met forfait'!I189</f>
        <v>0</v>
      </c>
      <c r="E112" s="487">
        <f>'1A-Infrastructuur met forfait'!J189</f>
        <v>0</v>
      </c>
      <c r="F112" s="503" t="str">
        <f>IF(C112&gt;0,IF('1A-Infrastructuur met forfait'!G189=0,1,2),"")</f>
        <v/>
      </c>
      <c r="G112" s="403">
        <f t="shared" si="3"/>
        <v>0</v>
      </c>
    </row>
    <row r="113" spans="1:9" ht="14.4" hidden="1" x14ac:dyDescent="0.3">
      <c r="A113" s="1118">
        <f>'1A-Infrastructuur met forfait'!B190</f>
        <v>0</v>
      </c>
      <c r="B113" s="852"/>
      <c r="C113" s="419">
        <f>'1A-Infrastructuur met forfait'!E190</f>
        <v>0</v>
      </c>
      <c r="D113" s="420">
        <f>'1A-Infrastructuur met forfait'!I190</f>
        <v>0</v>
      </c>
      <c r="E113" s="487">
        <f>'1A-Infrastructuur met forfait'!J190</f>
        <v>0</v>
      </c>
      <c r="F113" s="503" t="str">
        <f>IF(C113&gt;0,IF('1A-Infrastructuur met forfait'!G190=0,1,2),"")</f>
        <v/>
      </c>
      <c r="G113" s="403">
        <f t="shared" si="3"/>
        <v>0</v>
      </c>
    </row>
    <row r="114" spans="1:9" ht="14.4" hidden="1" x14ac:dyDescent="0.3">
      <c r="A114" s="1118">
        <f>'1A-Infrastructuur met forfait'!B191</f>
        <v>0</v>
      </c>
      <c r="B114" s="852"/>
      <c r="C114" s="419">
        <f>'1A-Infrastructuur met forfait'!E191</f>
        <v>0</v>
      </c>
      <c r="D114" s="420">
        <f>'1A-Infrastructuur met forfait'!I191</f>
        <v>0</v>
      </c>
      <c r="E114" s="487">
        <f>'1A-Infrastructuur met forfait'!J191</f>
        <v>0</v>
      </c>
      <c r="F114" s="503" t="str">
        <f>IF(C114&gt;0,IF('1A-Infrastructuur met forfait'!G191=0,1,2),"")</f>
        <v/>
      </c>
      <c r="G114" s="403">
        <f t="shared" si="3"/>
        <v>0</v>
      </c>
    </row>
    <row r="115" spans="1:9" ht="14.4" hidden="1" x14ac:dyDescent="0.3">
      <c r="A115" s="1118">
        <f>'1A-Infrastructuur met forfait'!B192</f>
        <v>0</v>
      </c>
      <c r="B115" s="852"/>
      <c r="C115" s="419">
        <f>'1A-Infrastructuur met forfait'!E192</f>
        <v>0</v>
      </c>
      <c r="D115" s="420">
        <f>'1A-Infrastructuur met forfait'!I192</f>
        <v>0</v>
      </c>
      <c r="E115" s="487">
        <f>'1A-Infrastructuur met forfait'!J192</f>
        <v>0</v>
      </c>
      <c r="F115" s="503" t="str">
        <f>IF(C115&gt;0,IF('1A-Infrastructuur met forfait'!G192=0,1,2),"")</f>
        <v/>
      </c>
      <c r="G115" s="403">
        <f t="shared" si="3"/>
        <v>0</v>
      </c>
    </row>
    <row r="116" spans="1:9" ht="15" hidden="1" thickBot="1" x14ac:dyDescent="0.35">
      <c r="A116" s="1138">
        <f>'1A-Infrastructuur met forfait'!B193</f>
        <v>0</v>
      </c>
      <c r="B116" s="1143"/>
      <c r="C116" s="421">
        <f>'1A-Infrastructuur met forfait'!E193</f>
        <v>0</v>
      </c>
      <c r="D116" s="422">
        <f>'1A-Infrastructuur met forfait'!I193</f>
        <v>0</v>
      </c>
      <c r="E116" s="488">
        <f>'1A-Infrastructuur met forfait'!J193</f>
        <v>0</v>
      </c>
      <c r="F116" s="504" t="str">
        <f>IF(C116&gt;0,IF('1A-Infrastructuur met forfait'!G193=0,1,2),"")</f>
        <v/>
      </c>
      <c r="G116" s="403">
        <f t="shared" si="3"/>
        <v>0</v>
      </c>
    </row>
    <row r="117" spans="1:9" ht="14.4" hidden="1" x14ac:dyDescent="0.3">
      <c r="C117" s="423"/>
      <c r="E117" s="44"/>
      <c r="F117" s="44"/>
      <c r="G117" s="403">
        <f>G98</f>
        <v>0</v>
      </c>
    </row>
    <row r="118" spans="1:9" ht="14.4" hidden="1" x14ac:dyDescent="0.3">
      <c r="A118" s="424" t="s">
        <v>1682</v>
      </c>
      <c r="C118" s="423"/>
      <c r="E118" s="44"/>
      <c r="F118" s="44"/>
      <c r="G118" s="403">
        <f>G117</f>
        <v>0</v>
      </c>
      <c r="I118" s="424"/>
    </row>
    <row r="119" spans="1:9" hidden="1" x14ac:dyDescent="0.25">
      <c r="A119" s="1142" t="s">
        <v>1742</v>
      </c>
      <c r="B119" s="803"/>
      <c r="C119" s="803"/>
      <c r="D119" s="803"/>
      <c r="E119" s="803"/>
      <c r="F119" s="803"/>
      <c r="G119" s="403">
        <f t="shared" ref="G119:G123" si="4">G117</f>
        <v>0</v>
      </c>
    </row>
    <row r="120" spans="1:9" hidden="1" x14ac:dyDescent="0.25">
      <c r="A120" s="803"/>
      <c r="B120" s="803"/>
      <c r="C120" s="803"/>
      <c r="D120" s="803"/>
      <c r="E120" s="803"/>
      <c r="F120" s="803"/>
      <c r="G120" s="403">
        <f t="shared" si="4"/>
        <v>0</v>
      </c>
    </row>
    <row r="121" spans="1:9" hidden="1" x14ac:dyDescent="0.25">
      <c r="A121" s="1142" t="s">
        <v>1743</v>
      </c>
      <c r="B121" s="803"/>
      <c r="C121" s="803"/>
      <c r="D121" s="803"/>
      <c r="E121" s="803"/>
      <c r="F121" s="803"/>
      <c r="G121" s="403">
        <f t="shared" si="4"/>
        <v>0</v>
      </c>
    </row>
    <row r="122" spans="1:9" ht="28.2" hidden="1" customHeight="1" x14ac:dyDescent="0.25">
      <c r="A122" s="803"/>
      <c r="B122" s="803"/>
      <c r="C122" s="803"/>
      <c r="D122" s="803"/>
      <c r="E122" s="803"/>
      <c r="F122" s="803"/>
      <c r="G122" s="403">
        <f t="shared" si="4"/>
        <v>0</v>
      </c>
    </row>
    <row r="123" spans="1:9" ht="14.4" hidden="1" x14ac:dyDescent="0.3">
      <c r="A123" s="81"/>
      <c r="B123" s="81"/>
      <c r="C123" s="81"/>
      <c r="D123" s="81"/>
      <c r="E123" s="491"/>
      <c r="F123" s="491"/>
      <c r="G123" s="403">
        <f t="shared" si="4"/>
        <v>0</v>
      </c>
    </row>
    <row r="124" spans="1:9" ht="12.6" thickBot="1" x14ac:dyDescent="0.3">
      <c r="G124" s="403">
        <v>1</v>
      </c>
    </row>
    <row r="125" spans="1:9" ht="12.6" hidden="1" thickBot="1" x14ac:dyDescent="0.3">
      <c r="A125" s="408" t="s">
        <v>1552</v>
      </c>
      <c r="G125" s="403">
        <f>G128</f>
        <v>0</v>
      </c>
    </row>
    <row r="126" spans="1:9" ht="12.6" hidden="1" thickBot="1" x14ac:dyDescent="0.3">
      <c r="A126" s="408"/>
      <c r="G126" s="403">
        <f>G127</f>
        <v>0</v>
      </c>
    </row>
    <row r="127" spans="1:9" ht="49.2" hidden="1" customHeight="1" thickBot="1" x14ac:dyDescent="0.35">
      <c r="A127" s="1120" t="s">
        <v>1548</v>
      </c>
      <c r="B127" s="1121"/>
      <c r="C127" s="1121"/>
      <c r="D127" s="435" t="s">
        <v>1549</v>
      </c>
      <c r="E127" s="490" t="s">
        <v>1553</v>
      </c>
      <c r="F127" s="501" t="str">
        <f>F97</f>
        <v>prijs in opnameovereen-komst vermeld? (*)</v>
      </c>
      <c r="G127" s="403">
        <f>G125</f>
        <v>0</v>
      </c>
    </row>
    <row r="128" spans="1:9" ht="15" hidden="1" thickBot="1" x14ac:dyDescent="0.35">
      <c r="A128" s="1123">
        <f>'1B-Infra zonder forfait'!B166</f>
        <v>0</v>
      </c>
      <c r="B128" s="1124"/>
      <c r="C128" s="1124"/>
      <c r="D128" s="413">
        <f>'1B-Infra zonder forfait'!E166</f>
        <v>0</v>
      </c>
      <c r="E128" s="492">
        <f>'1B-Infra zonder forfait'!H166</f>
        <v>0</v>
      </c>
      <c r="F128" s="505" t="str">
        <f>IF(D128&gt;0,IF('1B-Infra zonder forfait'!F166=0,1,2),"")</f>
        <v/>
      </c>
      <c r="G128" s="403">
        <f>IF(E128&gt;0,1,0)</f>
        <v>0</v>
      </c>
    </row>
    <row r="129" spans="1:7" ht="15" hidden="1" thickBot="1" x14ac:dyDescent="0.35">
      <c r="A129" s="1123">
        <f>'1B-Infra zonder forfait'!B167</f>
        <v>0</v>
      </c>
      <c r="B129" s="1124"/>
      <c r="C129" s="1124"/>
      <c r="D129" s="413">
        <f>'1B-Infra zonder forfait'!E167</f>
        <v>0</v>
      </c>
      <c r="E129" s="492">
        <f>'1B-Infra zonder forfait'!H167</f>
        <v>0</v>
      </c>
      <c r="F129" s="505" t="str">
        <f>IF(D129&gt;0,IF('1B-Infra zonder forfait'!F167=0,1,2),"")</f>
        <v/>
      </c>
      <c r="G129" s="403">
        <f t="shared" ref="G129:G146" si="5">IF(E129&gt;0,1,0)</f>
        <v>0</v>
      </c>
    </row>
    <row r="130" spans="1:7" ht="15" hidden="1" thickBot="1" x14ac:dyDescent="0.35">
      <c r="A130" s="1123">
        <f>'1B-Infra zonder forfait'!B168</f>
        <v>0</v>
      </c>
      <c r="B130" s="1124"/>
      <c r="C130" s="1124"/>
      <c r="D130" s="413">
        <f>'1B-Infra zonder forfait'!E168</f>
        <v>0</v>
      </c>
      <c r="E130" s="492">
        <f>'1B-Infra zonder forfait'!H168</f>
        <v>0</v>
      </c>
      <c r="F130" s="505" t="str">
        <f>IF(D130&gt;0,IF('1B-Infra zonder forfait'!F168=0,1,2),"")</f>
        <v/>
      </c>
      <c r="G130" s="403">
        <f t="shared" si="5"/>
        <v>0</v>
      </c>
    </row>
    <row r="131" spans="1:7" ht="15" hidden="1" thickBot="1" x14ac:dyDescent="0.35">
      <c r="A131" s="1123">
        <f>'1B-Infra zonder forfait'!B169</f>
        <v>0</v>
      </c>
      <c r="B131" s="1124"/>
      <c r="C131" s="1124"/>
      <c r="D131" s="413">
        <f>'1B-Infra zonder forfait'!E169</f>
        <v>0</v>
      </c>
      <c r="E131" s="492">
        <f>'1B-Infra zonder forfait'!H169</f>
        <v>0</v>
      </c>
      <c r="F131" s="505" t="str">
        <f>IF(D131&gt;0,IF('1B-Infra zonder forfait'!F169=0,1,2),"")</f>
        <v/>
      </c>
      <c r="G131" s="403">
        <f t="shared" si="5"/>
        <v>0</v>
      </c>
    </row>
    <row r="132" spans="1:7" ht="15" hidden="1" thickBot="1" x14ac:dyDescent="0.35">
      <c r="A132" s="1123">
        <f>'1B-Infra zonder forfait'!B170</f>
        <v>0</v>
      </c>
      <c r="B132" s="1124"/>
      <c r="C132" s="1124"/>
      <c r="D132" s="413">
        <f>'1B-Infra zonder forfait'!E170</f>
        <v>0</v>
      </c>
      <c r="E132" s="492">
        <f>'1B-Infra zonder forfait'!H170</f>
        <v>0</v>
      </c>
      <c r="F132" s="505" t="str">
        <f>IF(D132&gt;0,IF('1B-Infra zonder forfait'!F170=0,1,2),"")</f>
        <v/>
      </c>
      <c r="G132" s="403">
        <f t="shared" si="5"/>
        <v>0</v>
      </c>
    </row>
    <row r="133" spans="1:7" ht="15" hidden="1" thickBot="1" x14ac:dyDescent="0.35">
      <c r="A133" s="1123">
        <f>'1B-Infra zonder forfait'!B171</f>
        <v>0</v>
      </c>
      <c r="B133" s="1124"/>
      <c r="C133" s="1124"/>
      <c r="D133" s="413">
        <f>'1B-Infra zonder forfait'!E171</f>
        <v>0</v>
      </c>
      <c r="E133" s="492">
        <f>'1B-Infra zonder forfait'!H171</f>
        <v>0</v>
      </c>
      <c r="F133" s="505" t="str">
        <f>IF(D133&gt;0,IF('1B-Infra zonder forfait'!F171=0,1,2),"")</f>
        <v/>
      </c>
      <c r="G133" s="403">
        <f t="shared" si="5"/>
        <v>0</v>
      </c>
    </row>
    <row r="134" spans="1:7" ht="15" hidden="1" thickBot="1" x14ac:dyDescent="0.35">
      <c r="A134" s="1123">
        <f>'1B-Infra zonder forfait'!B172</f>
        <v>0</v>
      </c>
      <c r="B134" s="1124"/>
      <c r="C134" s="1124"/>
      <c r="D134" s="413">
        <f>'1B-Infra zonder forfait'!E172</f>
        <v>0</v>
      </c>
      <c r="E134" s="492">
        <f>'1B-Infra zonder forfait'!H172</f>
        <v>0</v>
      </c>
      <c r="F134" s="505" t="str">
        <f>IF(D134&gt;0,IF('1B-Infra zonder forfait'!F172=0,1,2),"")</f>
        <v/>
      </c>
      <c r="G134" s="403">
        <f t="shared" si="5"/>
        <v>0</v>
      </c>
    </row>
    <row r="135" spans="1:7" ht="15" hidden="1" thickBot="1" x14ac:dyDescent="0.35">
      <c r="A135" s="1123">
        <f>'1B-Infra zonder forfait'!B173</f>
        <v>0</v>
      </c>
      <c r="B135" s="1124"/>
      <c r="C135" s="1124"/>
      <c r="D135" s="413">
        <f>'1B-Infra zonder forfait'!E173</f>
        <v>0</v>
      </c>
      <c r="E135" s="492">
        <f>'1B-Infra zonder forfait'!H173</f>
        <v>0</v>
      </c>
      <c r="F135" s="505" t="str">
        <f>IF(D135&gt;0,IF('1B-Infra zonder forfait'!F173=0,1,2),"")</f>
        <v/>
      </c>
      <c r="G135" s="403">
        <f t="shared" si="5"/>
        <v>0</v>
      </c>
    </row>
    <row r="136" spans="1:7" ht="15" hidden="1" thickBot="1" x14ac:dyDescent="0.35">
      <c r="A136" s="1123">
        <f>'1B-Infra zonder forfait'!B174</f>
        <v>0</v>
      </c>
      <c r="B136" s="1124"/>
      <c r="C136" s="1124"/>
      <c r="D136" s="413">
        <f>'1B-Infra zonder forfait'!E174</f>
        <v>0</v>
      </c>
      <c r="E136" s="492">
        <f>'1B-Infra zonder forfait'!H174</f>
        <v>0</v>
      </c>
      <c r="F136" s="505" t="str">
        <f>IF(D136&gt;0,IF('1B-Infra zonder forfait'!F174=0,1,2),"")</f>
        <v/>
      </c>
      <c r="G136" s="403">
        <f t="shared" si="5"/>
        <v>0</v>
      </c>
    </row>
    <row r="137" spans="1:7" ht="15" hidden="1" thickBot="1" x14ac:dyDescent="0.35">
      <c r="A137" s="1123">
        <f>'1B-Infra zonder forfait'!B175</f>
        <v>0</v>
      </c>
      <c r="B137" s="1124"/>
      <c r="C137" s="1124"/>
      <c r="D137" s="413">
        <f>'1B-Infra zonder forfait'!E175</f>
        <v>0</v>
      </c>
      <c r="E137" s="492">
        <f>'1B-Infra zonder forfait'!H175</f>
        <v>0</v>
      </c>
      <c r="F137" s="505" t="str">
        <f>IF(D137&gt;0,IF('1B-Infra zonder forfait'!F175=0,1,2),"")</f>
        <v/>
      </c>
      <c r="G137" s="403">
        <f t="shared" si="5"/>
        <v>0</v>
      </c>
    </row>
    <row r="138" spans="1:7" ht="15" hidden="1" thickBot="1" x14ac:dyDescent="0.35">
      <c r="A138" s="1123">
        <f>'1B-Infra zonder forfait'!B176</f>
        <v>0</v>
      </c>
      <c r="B138" s="1124"/>
      <c r="C138" s="1124"/>
      <c r="D138" s="413">
        <f>'1B-Infra zonder forfait'!E176</f>
        <v>0</v>
      </c>
      <c r="E138" s="492">
        <f>'1B-Infra zonder forfait'!H176</f>
        <v>0</v>
      </c>
      <c r="F138" s="505" t="str">
        <f>IF(D138&gt;0,IF('1B-Infra zonder forfait'!F176=0,1,2),"")</f>
        <v/>
      </c>
      <c r="G138" s="403">
        <f t="shared" si="5"/>
        <v>0</v>
      </c>
    </row>
    <row r="139" spans="1:7" ht="15" hidden="1" thickBot="1" x14ac:dyDescent="0.35">
      <c r="A139" s="1123">
        <f>'1B-Infra zonder forfait'!B177</f>
        <v>0</v>
      </c>
      <c r="B139" s="1124"/>
      <c r="C139" s="1124"/>
      <c r="D139" s="413">
        <f>'1B-Infra zonder forfait'!E177</f>
        <v>0</v>
      </c>
      <c r="E139" s="492">
        <f>'1B-Infra zonder forfait'!H177</f>
        <v>0</v>
      </c>
      <c r="F139" s="505" t="str">
        <f>IF(D139&gt;0,IF('1B-Infra zonder forfait'!F177=0,1,2),"")</f>
        <v/>
      </c>
      <c r="G139" s="403">
        <f t="shared" si="5"/>
        <v>0</v>
      </c>
    </row>
    <row r="140" spans="1:7" ht="15" hidden="1" thickBot="1" x14ac:dyDescent="0.35">
      <c r="A140" s="1123">
        <f>'1B-Infra zonder forfait'!B178</f>
        <v>0</v>
      </c>
      <c r="B140" s="1124"/>
      <c r="C140" s="1124"/>
      <c r="D140" s="413">
        <f>'1B-Infra zonder forfait'!E178</f>
        <v>0</v>
      </c>
      <c r="E140" s="492">
        <f>'1B-Infra zonder forfait'!H178</f>
        <v>0</v>
      </c>
      <c r="F140" s="505" t="str">
        <f>IF(D140&gt;0,IF('1B-Infra zonder forfait'!F178=0,1,2),"")</f>
        <v/>
      </c>
      <c r="G140" s="403">
        <f t="shared" si="5"/>
        <v>0</v>
      </c>
    </row>
    <row r="141" spans="1:7" ht="15" hidden="1" thickBot="1" x14ac:dyDescent="0.35">
      <c r="A141" s="1123">
        <f>'1B-Infra zonder forfait'!B179</f>
        <v>0</v>
      </c>
      <c r="B141" s="1124"/>
      <c r="C141" s="1124"/>
      <c r="D141" s="413">
        <f>'1B-Infra zonder forfait'!E179</f>
        <v>0</v>
      </c>
      <c r="E141" s="492">
        <f>'1B-Infra zonder forfait'!H179</f>
        <v>0</v>
      </c>
      <c r="F141" s="505" t="str">
        <f>IF(D141&gt;0,IF('1B-Infra zonder forfait'!F179=0,1,2),"")</f>
        <v/>
      </c>
      <c r="G141" s="403">
        <f t="shared" si="5"/>
        <v>0</v>
      </c>
    </row>
    <row r="142" spans="1:7" ht="15" hidden="1" thickBot="1" x14ac:dyDescent="0.35">
      <c r="A142" s="1123">
        <f>'1B-Infra zonder forfait'!B180</f>
        <v>0</v>
      </c>
      <c r="B142" s="1124"/>
      <c r="C142" s="1124"/>
      <c r="D142" s="413">
        <f>'1B-Infra zonder forfait'!E180</f>
        <v>0</v>
      </c>
      <c r="E142" s="492">
        <f>'1B-Infra zonder forfait'!H180</f>
        <v>0</v>
      </c>
      <c r="F142" s="505" t="str">
        <f>IF(D142&gt;0,IF('1B-Infra zonder forfait'!F180=0,1,2),"")</f>
        <v/>
      </c>
      <c r="G142" s="403">
        <f t="shared" si="5"/>
        <v>0</v>
      </c>
    </row>
    <row r="143" spans="1:7" ht="15" hidden="1" thickBot="1" x14ac:dyDescent="0.35">
      <c r="A143" s="1123">
        <f>'1B-Infra zonder forfait'!B181</f>
        <v>0</v>
      </c>
      <c r="B143" s="1124"/>
      <c r="C143" s="1124"/>
      <c r="D143" s="413">
        <f>'1B-Infra zonder forfait'!E181</f>
        <v>0</v>
      </c>
      <c r="E143" s="492">
        <f>'1B-Infra zonder forfait'!H181</f>
        <v>0</v>
      </c>
      <c r="F143" s="505" t="str">
        <f>IF(D143&gt;0,IF('1B-Infra zonder forfait'!F181=0,1,2),"")</f>
        <v/>
      </c>
      <c r="G143" s="403">
        <f t="shared" si="5"/>
        <v>0</v>
      </c>
    </row>
    <row r="144" spans="1:7" ht="15" hidden="1" thickBot="1" x14ac:dyDescent="0.35">
      <c r="A144" s="1123">
        <f>'1B-Infra zonder forfait'!B182</f>
        <v>0</v>
      </c>
      <c r="B144" s="1124"/>
      <c r="C144" s="1124"/>
      <c r="D144" s="413">
        <f>'1B-Infra zonder forfait'!E182</f>
        <v>0</v>
      </c>
      <c r="E144" s="492">
        <f>'1B-Infra zonder forfait'!H182</f>
        <v>0</v>
      </c>
      <c r="F144" s="505" t="str">
        <f>IF(D144&gt;0,IF('1B-Infra zonder forfait'!F182=0,1,2),"")</f>
        <v/>
      </c>
      <c r="G144" s="403">
        <f t="shared" si="5"/>
        <v>0</v>
      </c>
    </row>
    <row r="145" spans="1:7" ht="15" hidden="1" thickBot="1" x14ac:dyDescent="0.35">
      <c r="A145" s="1123">
        <f>'1B-Infra zonder forfait'!B183</f>
        <v>0</v>
      </c>
      <c r="B145" s="1124"/>
      <c r="C145" s="1124"/>
      <c r="D145" s="413">
        <f>'1B-Infra zonder forfait'!E183</f>
        <v>0</v>
      </c>
      <c r="E145" s="492">
        <f>'1B-Infra zonder forfait'!H183</f>
        <v>0</v>
      </c>
      <c r="F145" s="505" t="str">
        <f>IF(D145&gt;0,IF('1B-Infra zonder forfait'!F183=0,1,2),"")</f>
        <v/>
      </c>
      <c r="G145" s="403">
        <f t="shared" si="5"/>
        <v>0</v>
      </c>
    </row>
    <row r="146" spans="1:7" ht="15" hidden="1" thickBot="1" x14ac:dyDescent="0.35">
      <c r="A146" s="1144">
        <f>'1B-Infra zonder forfait'!B184</f>
        <v>0</v>
      </c>
      <c r="B146" s="1145"/>
      <c r="C146" s="1145"/>
      <c r="D146" s="414">
        <f>'1B-Infra zonder forfait'!E184</f>
        <v>0</v>
      </c>
      <c r="E146" s="493">
        <f>'1B-Infra zonder forfait'!H184</f>
        <v>0</v>
      </c>
      <c r="F146" s="506" t="str">
        <f>IF(D146&gt;0,IF('1B-Infra zonder forfait'!F184=0,1,2),"")</f>
        <v/>
      </c>
      <c r="G146" s="403">
        <f t="shared" si="5"/>
        <v>0</v>
      </c>
    </row>
    <row r="147" spans="1:7" ht="12.6" hidden="1" thickBot="1" x14ac:dyDescent="0.3">
      <c r="G147" s="403">
        <f>G128</f>
        <v>0</v>
      </c>
    </row>
    <row r="148" spans="1:7" ht="15" hidden="1" thickBot="1" x14ac:dyDescent="0.35">
      <c r="A148" s="424" t="str">
        <f>A118</f>
        <v>(*) het cijfer in de laatste kolom duidt het onderscheid tussen:</v>
      </c>
      <c r="C148" s="423"/>
      <c r="E148" s="44"/>
      <c r="F148" s="44"/>
      <c r="G148" s="403">
        <f>G147</f>
        <v>0</v>
      </c>
    </row>
    <row r="149" spans="1:7" ht="12.6" hidden="1" thickBot="1" x14ac:dyDescent="0.3">
      <c r="A149" s="1142" t="str">
        <f>A119</f>
        <v>(1) Geen plafondprijs in opnameovereenkomst: De dagprijs na forfait stijgt niet in het eerste jaar en kan daarna elke 6 maand met max. 3 euro worden verhoogd tot de goedgekeurde prijs bereikt is.</v>
      </c>
      <c r="B149" s="803"/>
      <c r="C149" s="803"/>
      <c r="D149" s="803"/>
      <c r="E149" s="803"/>
      <c r="F149" s="803"/>
      <c r="G149" s="403">
        <f t="shared" ref="G149:G153" si="6">G147</f>
        <v>0</v>
      </c>
    </row>
    <row r="150" spans="1:7" ht="12.6" hidden="1" thickBot="1" x14ac:dyDescent="0.3">
      <c r="A150" s="803"/>
      <c r="B150" s="803"/>
      <c r="C150" s="803"/>
      <c r="D150" s="803"/>
      <c r="E150" s="803"/>
      <c r="F150" s="803"/>
      <c r="G150" s="403">
        <f t="shared" si="6"/>
        <v>0</v>
      </c>
    </row>
    <row r="151" spans="1:7" ht="12.6" hidden="1" thickBot="1" x14ac:dyDescent="0.3">
      <c r="A151" s="1142" t="str">
        <f>A121</f>
        <v>(2) Plafondprijs in opnameovereenkomst: de dagprijs na forfait kan  bij ingebruikname met max. 6 euro stijgen en kan daarna ten vroegste elke 6 maand met maximaal 6 euro worden verhoogd tot de goedgekeurde prijs bereikt is.</v>
      </c>
      <c r="B151" s="803"/>
      <c r="C151" s="803"/>
      <c r="D151" s="803"/>
      <c r="E151" s="803"/>
      <c r="F151" s="803"/>
      <c r="G151" s="403">
        <f t="shared" si="6"/>
        <v>0</v>
      </c>
    </row>
    <row r="152" spans="1:7" ht="12.6" hidden="1" thickBot="1" x14ac:dyDescent="0.3">
      <c r="A152" s="803"/>
      <c r="B152" s="803"/>
      <c r="C152" s="803"/>
      <c r="D152" s="803"/>
      <c r="E152" s="803"/>
      <c r="F152" s="803"/>
      <c r="G152" s="403">
        <f t="shared" si="6"/>
        <v>0</v>
      </c>
    </row>
    <row r="153" spans="1:7" ht="15" hidden="1" thickBot="1" x14ac:dyDescent="0.35">
      <c r="A153" s="81"/>
      <c r="B153" s="81"/>
      <c r="C153" s="81"/>
      <c r="D153" s="81"/>
      <c r="E153" s="491"/>
      <c r="F153" s="491"/>
      <c r="G153" s="403">
        <f t="shared" si="6"/>
        <v>0</v>
      </c>
    </row>
    <row r="154" spans="1:7" ht="12.6" hidden="1" thickBot="1" x14ac:dyDescent="0.3">
      <c r="A154" s="408" t="s">
        <v>1679</v>
      </c>
      <c r="G154" s="403">
        <f>G157</f>
        <v>0</v>
      </c>
    </row>
    <row r="155" spans="1:7" ht="12.6" hidden="1" thickBot="1" x14ac:dyDescent="0.3">
      <c r="G155" s="403">
        <f>G154</f>
        <v>0</v>
      </c>
    </row>
    <row r="156" spans="1:7" ht="25.2" hidden="1" thickBot="1" x14ac:dyDescent="0.35">
      <c r="A156" s="1158" t="s">
        <v>1548</v>
      </c>
      <c r="B156" s="1159"/>
      <c r="C156" s="435" t="s">
        <v>1549</v>
      </c>
      <c r="D156" s="434" t="s">
        <v>1757</v>
      </c>
      <c r="E156" s="494" t="s">
        <v>1680</v>
      </c>
      <c r="F156" s="494" t="s">
        <v>1758</v>
      </c>
      <c r="G156" s="403">
        <f>G154</f>
        <v>0</v>
      </c>
    </row>
    <row r="157" spans="1:7" ht="15" hidden="1" thickBot="1" x14ac:dyDescent="0.35">
      <c r="A157" s="1123">
        <f>'Formulier 2'!B200</f>
        <v>0</v>
      </c>
      <c r="B157" s="1124"/>
      <c r="C157" s="413">
        <f>'Formulier 2'!E200</f>
        <v>0</v>
      </c>
      <c r="D157" s="418">
        <f>'Formulier 2'!H200</f>
        <v>0</v>
      </c>
      <c r="E157" s="484">
        <f>'Formulier 2'!I200</f>
        <v>0</v>
      </c>
      <c r="F157" s="497">
        <f>'Formulier 2'!J200</f>
        <v>0</v>
      </c>
      <c r="G157" s="403">
        <f t="shared" ref="G157:G175" si="7">IF(D157&gt;0,1,0)</f>
        <v>0</v>
      </c>
    </row>
    <row r="158" spans="1:7" ht="15" hidden="1" thickBot="1" x14ac:dyDescent="0.35">
      <c r="A158" s="1118">
        <f>'Formulier 2'!B201</f>
        <v>0</v>
      </c>
      <c r="B158" s="1119"/>
      <c r="C158" s="415">
        <f>'Formulier 2'!E201</f>
        <v>0</v>
      </c>
      <c r="D158" s="420">
        <f>'Formulier 2'!H201</f>
        <v>0</v>
      </c>
      <c r="E158" s="487">
        <f>'Formulier 2'!I201</f>
        <v>0</v>
      </c>
      <c r="F158" s="499">
        <f>'Formulier 2'!J201</f>
        <v>0</v>
      </c>
      <c r="G158" s="403">
        <f t="shared" si="7"/>
        <v>0</v>
      </c>
    </row>
    <row r="159" spans="1:7" ht="15" hidden="1" thickBot="1" x14ac:dyDescent="0.35">
      <c r="A159" s="1118">
        <f>'Formulier 2'!B202</f>
        <v>0</v>
      </c>
      <c r="B159" s="1119"/>
      <c r="C159" s="415">
        <f>'Formulier 2'!E202</f>
        <v>0</v>
      </c>
      <c r="D159" s="420">
        <f>'Formulier 2'!H202</f>
        <v>0</v>
      </c>
      <c r="E159" s="487">
        <f>'Formulier 2'!I202</f>
        <v>0</v>
      </c>
      <c r="F159" s="499">
        <f>'Formulier 2'!J202</f>
        <v>0</v>
      </c>
      <c r="G159" s="403">
        <f t="shared" si="7"/>
        <v>0</v>
      </c>
    </row>
    <row r="160" spans="1:7" ht="15" hidden="1" thickBot="1" x14ac:dyDescent="0.35">
      <c r="A160" s="1118">
        <f>'Formulier 2'!B203</f>
        <v>0</v>
      </c>
      <c r="B160" s="1119"/>
      <c r="C160" s="415">
        <f>'Formulier 2'!E203</f>
        <v>0</v>
      </c>
      <c r="D160" s="420">
        <f>'Formulier 2'!H203</f>
        <v>0</v>
      </c>
      <c r="E160" s="487">
        <f>'Formulier 2'!I203</f>
        <v>0</v>
      </c>
      <c r="F160" s="499">
        <f>'Formulier 2'!J203</f>
        <v>0</v>
      </c>
      <c r="G160" s="403">
        <f t="shared" si="7"/>
        <v>0</v>
      </c>
    </row>
    <row r="161" spans="1:7" ht="15" hidden="1" thickBot="1" x14ac:dyDescent="0.35">
      <c r="A161" s="1118">
        <f>'Formulier 2'!B204</f>
        <v>0</v>
      </c>
      <c r="B161" s="1119"/>
      <c r="C161" s="415">
        <f>'Formulier 2'!E204</f>
        <v>0</v>
      </c>
      <c r="D161" s="420">
        <f>'Formulier 2'!H204</f>
        <v>0</v>
      </c>
      <c r="E161" s="487">
        <f>'Formulier 2'!I204</f>
        <v>0</v>
      </c>
      <c r="F161" s="499">
        <f>'Formulier 2'!J204</f>
        <v>0</v>
      </c>
      <c r="G161" s="403">
        <f t="shared" si="7"/>
        <v>0</v>
      </c>
    </row>
    <row r="162" spans="1:7" ht="15" hidden="1" thickBot="1" x14ac:dyDescent="0.35">
      <c r="A162" s="1118">
        <f>'Formulier 2'!B205</f>
        <v>0</v>
      </c>
      <c r="B162" s="1119"/>
      <c r="C162" s="415">
        <f>'Formulier 2'!E205</f>
        <v>0</v>
      </c>
      <c r="D162" s="420">
        <f>'Formulier 2'!H205</f>
        <v>0</v>
      </c>
      <c r="E162" s="487">
        <f>'Formulier 2'!I205</f>
        <v>0</v>
      </c>
      <c r="F162" s="499">
        <f>'Formulier 2'!J205</f>
        <v>0</v>
      </c>
      <c r="G162" s="403">
        <f t="shared" si="7"/>
        <v>0</v>
      </c>
    </row>
    <row r="163" spans="1:7" ht="15" hidden="1" thickBot="1" x14ac:dyDescent="0.35">
      <c r="A163" s="1118">
        <f>'Formulier 2'!B206</f>
        <v>0</v>
      </c>
      <c r="B163" s="1119"/>
      <c r="C163" s="415">
        <f>'Formulier 2'!E206</f>
        <v>0</v>
      </c>
      <c r="D163" s="420">
        <f>'Formulier 2'!H206</f>
        <v>0</v>
      </c>
      <c r="E163" s="487">
        <f>'Formulier 2'!I206</f>
        <v>0</v>
      </c>
      <c r="F163" s="499">
        <f>'Formulier 2'!J206</f>
        <v>0</v>
      </c>
      <c r="G163" s="403">
        <f t="shared" si="7"/>
        <v>0</v>
      </c>
    </row>
    <row r="164" spans="1:7" ht="15" hidden="1" thickBot="1" x14ac:dyDescent="0.35">
      <c r="A164" s="1118">
        <f>'Formulier 2'!B207</f>
        <v>0</v>
      </c>
      <c r="B164" s="1119"/>
      <c r="C164" s="415">
        <f>'Formulier 2'!E207</f>
        <v>0</v>
      </c>
      <c r="D164" s="420">
        <f>'Formulier 2'!H207</f>
        <v>0</v>
      </c>
      <c r="E164" s="487">
        <f>'Formulier 2'!I207</f>
        <v>0</v>
      </c>
      <c r="F164" s="499">
        <f>'Formulier 2'!J207</f>
        <v>0</v>
      </c>
      <c r="G164" s="403">
        <f t="shared" si="7"/>
        <v>0</v>
      </c>
    </row>
    <row r="165" spans="1:7" ht="15" hidden="1" thickBot="1" x14ac:dyDescent="0.35">
      <c r="A165" s="1118">
        <f>'Formulier 2'!B208</f>
        <v>0</v>
      </c>
      <c r="B165" s="1119"/>
      <c r="C165" s="415">
        <f>'Formulier 2'!E208</f>
        <v>0</v>
      </c>
      <c r="D165" s="420">
        <f>'Formulier 2'!H208</f>
        <v>0</v>
      </c>
      <c r="E165" s="487">
        <f>'Formulier 2'!I208</f>
        <v>0</v>
      </c>
      <c r="F165" s="499">
        <f>'Formulier 2'!J208</f>
        <v>0</v>
      </c>
      <c r="G165" s="403">
        <f t="shared" si="7"/>
        <v>0</v>
      </c>
    </row>
    <row r="166" spans="1:7" ht="15" hidden="1" thickBot="1" x14ac:dyDescent="0.35">
      <c r="A166" s="1118">
        <f>'Formulier 2'!B209</f>
        <v>0</v>
      </c>
      <c r="B166" s="1119"/>
      <c r="C166" s="415">
        <f>'Formulier 2'!E209</f>
        <v>0</v>
      </c>
      <c r="D166" s="420">
        <f>'Formulier 2'!H209</f>
        <v>0</v>
      </c>
      <c r="E166" s="487">
        <f>'Formulier 2'!I209</f>
        <v>0</v>
      </c>
      <c r="F166" s="499">
        <f>'Formulier 2'!J209</f>
        <v>0</v>
      </c>
      <c r="G166" s="403">
        <f t="shared" si="7"/>
        <v>0</v>
      </c>
    </row>
    <row r="167" spans="1:7" ht="15" hidden="1" thickBot="1" x14ac:dyDescent="0.35">
      <c r="A167" s="1118">
        <f>'Formulier 2'!B210</f>
        <v>0</v>
      </c>
      <c r="B167" s="1119"/>
      <c r="C167" s="415">
        <f>'Formulier 2'!E210</f>
        <v>0</v>
      </c>
      <c r="D167" s="420">
        <f>'Formulier 2'!H210</f>
        <v>0</v>
      </c>
      <c r="E167" s="487">
        <f>'Formulier 2'!I210</f>
        <v>0</v>
      </c>
      <c r="F167" s="499">
        <f>'Formulier 2'!J210</f>
        <v>0</v>
      </c>
      <c r="G167" s="403">
        <f t="shared" si="7"/>
        <v>0</v>
      </c>
    </row>
    <row r="168" spans="1:7" ht="15" hidden="1" thickBot="1" x14ac:dyDescent="0.35">
      <c r="A168" s="1118">
        <f>'Formulier 2'!B211</f>
        <v>0</v>
      </c>
      <c r="B168" s="1119"/>
      <c r="C168" s="415">
        <f>'Formulier 2'!E211</f>
        <v>0</v>
      </c>
      <c r="D168" s="420">
        <f>'Formulier 2'!H211</f>
        <v>0</v>
      </c>
      <c r="E168" s="487">
        <f>'Formulier 2'!I211</f>
        <v>0</v>
      </c>
      <c r="F168" s="499">
        <f>'Formulier 2'!J211</f>
        <v>0</v>
      </c>
      <c r="G168" s="403">
        <f t="shared" si="7"/>
        <v>0</v>
      </c>
    </row>
    <row r="169" spans="1:7" ht="15" hidden="1" thickBot="1" x14ac:dyDescent="0.35">
      <c r="A169" s="1118">
        <f>'Formulier 2'!B212</f>
        <v>0</v>
      </c>
      <c r="B169" s="1119"/>
      <c r="C169" s="415">
        <f>'Formulier 2'!E212</f>
        <v>0</v>
      </c>
      <c r="D169" s="420">
        <f>'Formulier 2'!H212</f>
        <v>0</v>
      </c>
      <c r="E169" s="487">
        <f>'Formulier 2'!I212</f>
        <v>0</v>
      </c>
      <c r="F169" s="499">
        <f>'Formulier 2'!J212</f>
        <v>0</v>
      </c>
      <c r="G169" s="403">
        <f t="shared" si="7"/>
        <v>0</v>
      </c>
    </row>
    <row r="170" spans="1:7" ht="15" hidden="1" thickBot="1" x14ac:dyDescent="0.35">
      <c r="A170" s="1118">
        <f>'Formulier 2'!B213</f>
        <v>0</v>
      </c>
      <c r="B170" s="1119"/>
      <c r="C170" s="415">
        <f>'Formulier 2'!E213</f>
        <v>0</v>
      </c>
      <c r="D170" s="420">
        <f>'Formulier 2'!H213</f>
        <v>0</v>
      </c>
      <c r="E170" s="487">
        <f>'Formulier 2'!I213</f>
        <v>0</v>
      </c>
      <c r="F170" s="499">
        <f>'Formulier 2'!J213</f>
        <v>0</v>
      </c>
      <c r="G170" s="403">
        <f t="shared" si="7"/>
        <v>0</v>
      </c>
    </row>
    <row r="171" spans="1:7" ht="15" hidden="1" thickBot="1" x14ac:dyDescent="0.35">
      <c r="A171" s="1118">
        <f>'Formulier 2'!B214</f>
        <v>0</v>
      </c>
      <c r="B171" s="1119"/>
      <c r="C171" s="415">
        <f>'Formulier 2'!E214</f>
        <v>0</v>
      </c>
      <c r="D171" s="420">
        <f>'Formulier 2'!H214</f>
        <v>0</v>
      </c>
      <c r="E171" s="487">
        <f>'Formulier 2'!I214</f>
        <v>0</v>
      </c>
      <c r="F171" s="499">
        <f>'Formulier 2'!J214</f>
        <v>0</v>
      </c>
      <c r="G171" s="403">
        <f t="shared" si="7"/>
        <v>0</v>
      </c>
    </row>
    <row r="172" spans="1:7" ht="15" hidden="1" thickBot="1" x14ac:dyDescent="0.35">
      <c r="A172" s="1118">
        <f>'Formulier 2'!B215</f>
        <v>0</v>
      </c>
      <c r="B172" s="1119"/>
      <c r="C172" s="415">
        <f>'Formulier 2'!E215</f>
        <v>0</v>
      </c>
      <c r="D172" s="420">
        <f>'Formulier 2'!H215</f>
        <v>0</v>
      </c>
      <c r="E172" s="487">
        <f>'Formulier 2'!I215</f>
        <v>0</v>
      </c>
      <c r="F172" s="499">
        <f>'Formulier 2'!J215</f>
        <v>0</v>
      </c>
      <c r="G172" s="403">
        <f t="shared" si="7"/>
        <v>0</v>
      </c>
    </row>
    <row r="173" spans="1:7" ht="15" hidden="1" thickBot="1" x14ac:dyDescent="0.35">
      <c r="A173" s="1118">
        <f>'Formulier 2'!B216</f>
        <v>0</v>
      </c>
      <c r="B173" s="1119"/>
      <c r="C173" s="415">
        <f>'Formulier 2'!E216</f>
        <v>0</v>
      </c>
      <c r="D173" s="420">
        <f>'Formulier 2'!H216</f>
        <v>0</v>
      </c>
      <c r="E173" s="487">
        <f>'Formulier 2'!I216</f>
        <v>0</v>
      </c>
      <c r="F173" s="499">
        <f>'Formulier 2'!J216</f>
        <v>0</v>
      </c>
      <c r="G173" s="403">
        <f t="shared" si="7"/>
        <v>0</v>
      </c>
    </row>
    <row r="174" spans="1:7" ht="15" hidden="1" thickBot="1" x14ac:dyDescent="0.35">
      <c r="A174" s="1118">
        <f>'Formulier 2'!B217</f>
        <v>0</v>
      </c>
      <c r="B174" s="1119"/>
      <c r="C174" s="415">
        <f>'Formulier 2'!E217</f>
        <v>0</v>
      </c>
      <c r="D174" s="420">
        <f>'Formulier 2'!H217</f>
        <v>0</v>
      </c>
      <c r="E174" s="487">
        <f>'Formulier 2'!I217</f>
        <v>0</v>
      </c>
      <c r="F174" s="499">
        <f>'Formulier 2'!J217</f>
        <v>0</v>
      </c>
      <c r="G174" s="403">
        <f t="shared" si="7"/>
        <v>0</v>
      </c>
    </row>
    <row r="175" spans="1:7" ht="15" hidden="1" thickBot="1" x14ac:dyDescent="0.35">
      <c r="A175" s="1138">
        <f>'Formulier 2'!B218</f>
        <v>0</v>
      </c>
      <c r="B175" s="1139"/>
      <c r="C175" s="416">
        <f>'Formulier 2'!E218</f>
        <v>0</v>
      </c>
      <c r="D175" s="422">
        <f>'Formulier 2'!H218</f>
        <v>0</v>
      </c>
      <c r="E175" s="488">
        <f>'Formulier 2'!I218</f>
        <v>0</v>
      </c>
      <c r="F175" s="500">
        <f>'Formulier 2'!J218</f>
        <v>0</v>
      </c>
      <c r="G175" s="403">
        <f t="shared" si="7"/>
        <v>0</v>
      </c>
    </row>
    <row r="176" spans="1:7" ht="12.6" hidden="1" thickBot="1" x14ac:dyDescent="0.3">
      <c r="A176" s="424" t="s">
        <v>1681</v>
      </c>
      <c r="G176" s="403">
        <f>G157</f>
        <v>0</v>
      </c>
    </row>
    <row r="177" spans="1:7" ht="12.6" hidden="1" thickBot="1" x14ac:dyDescent="0.3">
      <c r="A177" s="424"/>
      <c r="G177" s="403">
        <f>G180</f>
        <v>0</v>
      </c>
    </row>
    <row r="178" spans="1:7" ht="12.6" hidden="1" thickBot="1" x14ac:dyDescent="0.3">
      <c r="A178" s="408" t="s">
        <v>1763</v>
      </c>
      <c r="G178" s="403">
        <f>$G$180</f>
        <v>0</v>
      </c>
    </row>
    <row r="179" spans="1:7" ht="15" hidden="1" thickBot="1" x14ac:dyDescent="0.35">
      <c r="A179" s="1152" t="s">
        <v>1764</v>
      </c>
      <c r="B179" s="1153"/>
      <c r="C179" s="1153"/>
      <c r="D179" s="1153"/>
      <c r="E179" s="1154"/>
      <c r="F179" s="507" t="s">
        <v>1765</v>
      </c>
      <c r="G179" s="403">
        <f t="shared" ref="G179" si="8">$G$180</f>
        <v>0</v>
      </c>
    </row>
    <row r="180" spans="1:7" ht="15" hidden="1" thickBot="1" x14ac:dyDescent="0.35">
      <c r="A180" s="1155">
        <f>'Formulier 2'!B252</f>
        <v>0</v>
      </c>
      <c r="B180" s="1156"/>
      <c r="C180" s="1156"/>
      <c r="D180" s="1156"/>
      <c r="E180" s="1124"/>
      <c r="F180" s="497">
        <f>'Formulier 2'!K252</f>
        <v>0</v>
      </c>
      <c r="G180" s="403">
        <f>IF(F180&gt;0,1,0)</f>
        <v>0</v>
      </c>
    </row>
    <row r="181" spans="1:7" ht="15" hidden="1" thickBot="1" x14ac:dyDescent="0.35">
      <c r="A181" s="1155">
        <f>'Formulier 2'!B253</f>
        <v>0</v>
      </c>
      <c r="B181" s="1156"/>
      <c r="C181" s="1156"/>
      <c r="D181" s="1156"/>
      <c r="E181" s="1124"/>
      <c r="F181" s="499">
        <f>'Formulier 2'!K253</f>
        <v>0</v>
      </c>
      <c r="G181" s="403">
        <f t="shared" ref="G181:G193" si="9">IF(F181&gt;0,1,0)</f>
        <v>0</v>
      </c>
    </row>
    <row r="182" spans="1:7" ht="15" hidden="1" thickBot="1" x14ac:dyDescent="0.35">
      <c r="A182" s="1155">
        <f>'Formulier 2'!B254</f>
        <v>0</v>
      </c>
      <c r="B182" s="1156"/>
      <c r="C182" s="1156"/>
      <c r="D182" s="1156"/>
      <c r="E182" s="1124"/>
      <c r="F182" s="499">
        <f>'Formulier 2'!K254</f>
        <v>0</v>
      </c>
      <c r="G182" s="403">
        <f t="shared" si="9"/>
        <v>0</v>
      </c>
    </row>
    <row r="183" spans="1:7" ht="15" hidden="1" thickBot="1" x14ac:dyDescent="0.35">
      <c r="A183" s="1155">
        <f>'Formulier 2'!B255</f>
        <v>0</v>
      </c>
      <c r="B183" s="1156"/>
      <c r="C183" s="1156"/>
      <c r="D183" s="1156"/>
      <c r="E183" s="1124"/>
      <c r="F183" s="499">
        <f>'Formulier 2'!K255</f>
        <v>0</v>
      </c>
      <c r="G183" s="403">
        <f t="shared" si="9"/>
        <v>0</v>
      </c>
    </row>
    <row r="184" spans="1:7" ht="15" hidden="1" thickBot="1" x14ac:dyDescent="0.35">
      <c r="A184" s="1155">
        <f>'Formulier 2'!B256</f>
        <v>0</v>
      </c>
      <c r="B184" s="1156"/>
      <c r="C184" s="1156"/>
      <c r="D184" s="1156"/>
      <c r="E184" s="1124"/>
      <c r="F184" s="499">
        <f>'Formulier 2'!K256</f>
        <v>0</v>
      </c>
      <c r="G184" s="403">
        <f t="shared" si="9"/>
        <v>0</v>
      </c>
    </row>
    <row r="185" spans="1:7" ht="15" hidden="1" thickBot="1" x14ac:dyDescent="0.35">
      <c r="A185" s="1155">
        <f>'Formulier 2'!B257</f>
        <v>0</v>
      </c>
      <c r="B185" s="1156"/>
      <c r="C185" s="1156"/>
      <c r="D185" s="1156"/>
      <c r="E185" s="1124"/>
      <c r="F185" s="499">
        <f>'Formulier 2'!K257</f>
        <v>0</v>
      </c>
      <c r="G185" s="403">
        <f t="shared" si="9"/>
        <v>0</v>
      </c>
    </row>
    <row r="186" spans="1:7" ht="15" hidden="1" thickBot="1" x14ac:dyDescent="0.35">
      <c r="A186" s="1155">
        <f>'Formulier 2'!B258</f>
        <v>0</v>
      </c>
      <c r="B186" s="1156"/>
      <c r="C186" s="1156"/>
      <c r="D186" s="1156"/>
      <c r="E186" s="1124"/>
      <c r="F186" s="499">
        <f>'Formulier 2'!K258</f>
        <v>0</v>
      </c>
      <c r="G186" s="403">
        <f t="shared" si="9"/>
        <v>0</v>
      </c>
    </row>
    <row r="187" spans="1:7" ht="15" hidden="1" thickBot="1" x14ac:dyDescent="0.35">
      <c r="A187" s="1155">
        <f>'Formulier 2'!B259</f>
        <v>0</v>
      </c>
      <c r="B187" s="1156"/>
      <c r="C187" s="1156"/>
      <c r="D187" s="1156"/>
      <c r="E187" s="1124"/>
      <c r="F187" s="499">
        <f>'Formulier 2'!K259</f>
        <v>0</v>
      </c>
      <c r="G187" s="403">
        <f t="shared" si="9"/>
        <v>0</v>
      </c>
    </row>
    <row r="188" spans="1:7" ht="15" hidden="1" thickBot="1" x14ac:dyDescent="0.35">
      <c r="A188" s="1155">
        <f>'Formulier 2'!B260</f>
        <v>0</v>
      </c>
      <c r="B188" s="1156"/>
      <c r="C188" s="1156"/>
      <c r="D188" s="1156"/>
      <c r="E188" s="1124"/>
      <c r="F188" s="499">
        <f>'Formulier 2'!K260</f>
        <v>0</v>
      </c>
      <c r="G188" s="403">
        <f t="shared" si="9"/>
        <v>0</v>
      </c>
    </row>
    <row r="189" spans="1:7" ht="15" hidden="1" thickBot="1" x14ac:dyDescent="0.35">
      <c r="A189" s="1155">
        <f>'Formulier 2'!B261</f>
        <v>0</v>
      </c>
      <c r="B189" s="1156"/>
      <c r="C189" s="1156"/>
      <c r="D189" s="1156"/>
      <c r="E189" s="1124"/>
      <c r="F189" s="499">
        <f>'Formulier 2'!K261</f>
        <v>0</v>
      </c>
      <c r="G189" s="403">
        <f t="shared" si="9"/>
        <v>0</v>
      </c>
    </row>
    <row r="190" spans="1:7" ht="15" hidden="1" thickBot="1" x14ac:dyDescent="0.35">
      <c r="A190" s="1155">
        <f>'Formulier 2'!B262</f>
        <v>0</v>
      </c>
      <c r="B190" s="1156"/>
      <c r="C190" s="1156"/>
      <c r="D190" s="1156"/>
      <c r="E190" s="1124"/>
      <c r="F190" s="499">
        <f>'Formulier 2'!K262</f>
        <v>0</v>
      </c>
      <c r="G190" s="403">
        <f t="shared" si="9"/>
        <v>0</v>
      </c>
    </row>
    <row r="191" spans="1:7" ht="15" hidden="1" thickBot="1" x14ac:dyDescent="0.35">
      <c r="A191" s="1155">
        <f>'Formulier 2'!B263</f>
        <v>0</v>
      </c>
      <c r="B191" s="1156"/>
      <c r="C191" s="1156"/>
      <c r="D191" s="1156"/>
      <c r="E191" s="1124"/>
      <c r="F191" s="499">
        <f>'Formulier 2'!K263</f>
        <v>0</v>
      </c>
      <c r="G191" s="403">
        <f t="shared" si="9"/>
        <v>0</v>
      </c>
    </row>
    <row r="192" spans="1:7" ht="15" hidden="1" thickBot="1" x14ac:dyDescent="0.35">
      <c r="A192" s="1155">
        <f>'Formulier 2'!B264</f>
        <v>0</v>
      </c>
      <c r="B192" s="1156"/>
      <c r="C192" s="1156"/>
      <c r="D192" s="1156"/>
      <c r="E192" s="1124"/>
      <c r="F192" s="499">
        <f>'Formulier 2'!K264</f>
        <v>0</v>
      </c>
      <c r="G192" s="403">
        <f t="shared" si="9"/>
        <v>0</v>
      </c>
    </row>
    <row r="193" spans="1:7" ht="15" hidden="1" thickBot="1" x14ac:dyDescent="0.35">
      <c r="A193" s="1166">
        <f>'Formulier 2'!B265</f>
        <v>0</v>
      </c>
      <c r="B193" s="1167"/>
      <c r="C193" s="1167"/>
      <c r="D193" s="1167"/>
      <c r="E193" s="1145"/>
      <c r="F193" s="500">
        <f>'Formulier 2'!K265</f>
        <v>0</v>
      </c>
      <c r="G193" s="403">
        <f t="shared" si="9"/>
        <v>0</v>
      </c>
    </row>
    <row r="194" spans="1:7" ht="12.6" hidden="1" thickBot="1" x14ac:dyDescent="0.3">
      <c r="A194" s="424"/>
      <c r="G194" s="403">
        <f>G180</f>
        <v>0</v>
      </c>
    </row>
    <row r="195" spans="1:7" ht="12.6" hidden="1" thickBot="1" x14ac:dyDescent="0.3">
      <c r="A195" s="405" t="s">
        <v>1766</v>
      </c>
      <c r="G195" s="403">
        <f>$G$197</f>
        <v>0</v>
      </c>
    </row>
    <row r="196" spans="1:7" ht="15" hidden="1" thickBot="1" x14ac:dyDescent="0.35">
      <c r="A196" s="1168" t="s">
        <v>1764</v>
      </c>
      <c r="B196" s="1169"/>
      <c r="C196" s="1169"/>
      <c r="D196" s="1169"/>
      <c r="E196" s="1170"/>
      <c r="F196" s="508" t="s">
        <v>1765</v>
      </c>
      <c r="G196" s="403">
        <f>$G$197</f>
        <v>0</v>
      </c>
    </row>
    <row r="197" spans="1:7" ht="15" hidden="1" thickBot="1" x14ac:dyDescent="0.35">
      <c r="A197" s="1155">
        <f>'Formulier 2'!B301</f>
        <v>0</v>
      </c>
      <c r="B197" s="1156"/>
      <c r="C197" s="1156"/>
      <c r="D197" s="1156"/>
      <c r="E197" s="1124"/>
      <c r="F197" s="497">
        <f>'Formulier 2'!K301</f>
        <v>0</v>
      </c>
      <c r="G197" s="403">
        <f>IF(F197&gt;0,1,0)</f>
        <v>0</v>
      </c>
    </row>
    <row r="198" spans="1:7" ht="15" hidden="1" thickBot="1" x14ac:dyDescent="0.35">
      <c r="A198" s="1155">
        <f>'Formulier 2'!B302</f>
        <v>0</v>
      </c>
      <c r="B198" s="1156"/>
      <c r="C198" s="1156"/>
      <c r="D198" s="1156"/>
      <c r="E198" s="1124"/>
      <c r="F198" s="499">
        <f>'Formulier 2'!K302</f>
        <v>0</v>
      </c>
      <c r="G198" s="403">
        <f t="shared" ref="G198:G206" si="10">IF(F198&gt;0,1,0)</f>
        <v>0</v>
      </c>
    </row>
    <row r="199" spans="1:7" ht="15" hidden="1" thickBot="1" x14ac:dyDescent="0.35">
      <c r="A199" s="1155">
        <f>'Formulier 2'!B303</f>
        <v>0</v>
      </c>
      <c r="B199" s="1156"/>
      <c r="C199" s="1156"/>
      <c r="D199" s="1156"/>
      <c r="E199" s="1124"/>
      <c r="F199" s="499">
        <f>'Formulier 2'!K303</f>
        <v>0</v>
      </c>
      <c r="G199" s="403">
        <f t="shared" si="10"/>
        <v>0</v>
      </c>
    </row>
    <row r="200" spans="1:7" ht="15" hidden="1" thickBot="1" x14ac:dyDescent="0.35">
      <c r="A200" s="1155">
        <f>'Formulier 2'!B304</f>
        <v>0</v>
      </c>
      <c r="B200" s="1156"/>
      <c r="C200" s="1156"/>
      <c r="D200" s="1156"/>
      <c r="E200" s="1124"/>
      <c r="F200" s="499">
        <f>'Formulier 2'!K304</f>
        <v>0</v>
      </c>
      <c r="G200" s="403">
        <f t="shared" si="10"/>
        <v>0</v>
      </c>
    </row>
    <row r="201" spans="1:7" ht="15" hidden="1" thickBot="1" x14ac:dyDescent="0.35">
      <c r="A201" s="1155">
        <f>'Formulier 2'!B305</f>
        <v>0</v>
      </c>
      <c r="B201" s="1156"/>
      <c r="C201" s="1156"/>
      <c r="D201" s="1156"/>
      <c r="E201" s="1124"/>
      <c r="F201" s="499">
        <f>'Formulier 2'!K305</f>
        <v>0</v>
      </c>
      <c r="G201" s="403">
        <f t="shared" si="10"/>
        <v>0</v>
      </c>
    </row>
    <row r="202" spans="1:7" ht="15" hidden="1" thickBot="1" x14ac:dyDescent="0.35">
      <c r="A202" s="1155">
        <f>'Formulier 2'!B306</f>
        <v>0</v>
      </c>
      <c r="B202" s="1156"/>
      <c r="C202" s="1156"/>
      <c r="D202" s="1156"/>
      <c r="E202" s="1124"/>
      <c r="F202" s="499">
        <f>'Formulier 2'!K306</f>
        <v>0</v>
      </c>
      <c r="G202" s="403">
        <f t="shared" si="10"/>
        <v>0</v>
      </c>
    </row>
    <row r="203" spans="1:7" ht="15" hidden="1" thickBot="1" x14ac:dyDescent="0.35">
      <c r="A203" s="1155">
        <f>'Formulier 2'!B307</f>
        <v>0</v>
      </c>
      <c r="B203" s="1156"/>
      <c r="C203" s="1156"/>
      <c r="D203" s="1156"/>
      <c r="E203" s="1124"/>
      <c r="F203" s="499">
        <f>'Formulier 2'!K307</f>
        <v>0</v>
      </c>
      <c r="G203" s="403">
        <f t="shared" si="10"/>
        <v>0</v>
      </c>
    </row>
    <row r="204" spans="1:7" ht="15" hidden="1" thickBot="1" x14ac:dyDescent="0.35">
      <c r="A204" s="1155">
        <f>'Formulier 2'!B308</f>
        <v>0</v>
      </c>
      <c r="B204" s="1156"/>
      <c r="C204" s="1156"/>
      <c r="D204" s="1156"/>
      <c r="E204" s="1124"/>
      <c r="F204" s="499">
        <f>'Formulier 2'!K308</f>
        <v>0</v>
      </c>
      <c r="G204" s="403">
        <f t="shared" si="10"/>
        <v>0</v>
      </c>
    </row>
    <row r="205" spans="1:7" ht="15" hidden="1" thickBot="1" x14ac:dyDescent="0.35">
      <c r="A205" s="1155">
        <f>'Formulier 2'!B309</f>
        <v>0</v>
      </c>
      <c r="B205" s="1156"/>
      <c r="C205" s="1156"/>
      <c r="D205" s="1156"/>
      <c r="E205" s="1124"/>
      <c r="F205" s="499">
        <f>'Formulier 2'!K309</f>
        <v>0</v>
      </c>
      <c r="G205" s="403">
        <f t="shared" si="10"/>
        <v>0</v>
      </c>
    </row>
    <row r="206" spans="1:7" ht="15" hidden="1" thickBot="1" x14ac:dyDescent="0.35">
      <c r="A206" s="1166">
        <f>'Formulier 2'!B310</f>
        <v>0</v>
      </c>
      <c r="B206" s="1167"/>
      <c r="C206" s="1167"/>
      <c r="D206" s="1167"/>
      <c r="E206" s="1145"/>
      <c r="F206" s="500">
        <f>'Formulier 2'!K310</f>
        <v>0</v>
      </c>
      <c r="G206" s="403">
        <f t="shared" si="10"/>
        <v>0</v>
      </c>
    </row>
    <row r="207" spans="1:7" ht="15" hidden="1" thickBot="1" x14ac:dyDescent="0.35">
      <c r="A207" s="509"/>
      <c r="B207" s="510"/>
      <c r="C207" s="510"/>
      <c r="D207" s="510"/>
      <c r="E207" s="511"/>
      <c r="G207" s="403">
        <f>G197</f>
        <v>0</v>
      </c>
    </row>
    <row r="208" spans="1:7" x14ac:dyDescent="0.25">
      <c r="A208" s="1160" t="str">
        <f>"Ik verklaar op eer dat de gegevens ingevuld in het aanvraagformulier correct en volledig zijn.
Er kan onder meer achteraf worden nagegaan of de opgegeven aantallen kloppen" &amp; IF(AND((G98+G99)=0,(G128+G129)=0),".",", meer bepaald met betrekking tot het aantal bewoners met kennisname van de plafondprijs in de opnameovereenkomst.")</f>
        <v>Ik verklaar op eer dat de gegevens ingevuld in het aanvraagformulier correct en volledig zijn.
Er kan onder meer achteraf worden nagegaan of de opgegeven aantallen kloppen.</v>
      </c>
      <c r="B208" s="1161"/>
      <c r="C208" s="1161"/>
      <c r="D208" s="1161"/>
      <c r="E208" s="1161"/>
      <c r="F208" s="1162"/>
      <c r="G208" s="403">
        <v>1</v>
      </c>
    </row>
    <row r="209" spans="1:12" ht="40.200000000000003" customHeight="1" thickBot="1" x14ac:dyDescent="0.3">
      <c r="A209" s="1163"/>
      <c r="B209" s="1164"/>
      <c r="C209" s="1164"/>
      <c r="D209" s="1164"/>
      <c r="E209" s="1164"/>
      <c r="F209" s="1165"/>
      <c r="G209" s="403">
        <v>1</v>
      </c>
    </row>
    <row r="210" spans="1:12" ht="28.2" customHeight="1" x14ac:dyDescent="0.3">
      <c r="A210" s="509"/>
      <c r="B210" s="510"/>
      <c r="C210" s="510"/>
      <c r="D210" s="510"/>
      <c r="E210" s="511"/>
      <c r="G210" s="403">
        <v>1</v>
      </c>
    </row>
    <row r="211" spans="1:12" ht="14.4" x14ac:dyDescent="0.3">
      <c r="A211" s="23" t="s">
        <v>1557</v>
      </c>
      <c r="B211"/>
      <c r="C211"/>
      <c r="D211"/>
      <c r="E211" s="495" t="s">
        <v>1497</v>
      </c>
      <c r="F211" s="44"/>
      <c r="G211" s="469">
        <v>1</v>
      </c>
      <c r="H211"/>
      <c r="I211"/>
      <c r="L211"/>
    </row>
    <row r="212" spans="1:12" ht="14.4" x14ac:dyDescent="0.3">
      <c r="A212" s="23"/>
      <c r="B212"/>
      <c r="C212"/>
      <c r="D212"/>
      <c r="E212" s="495"/>
      <c r="F212" s="44"/>
      <c r="G212" s="403">
        <v>1</v>
      </c>
      <c r="H212"/>
      <c r="I212"/>
      <c r="L212"/>
    </row>
    <row r="213" spans="1:12" ht="14.4" x14ac:dyDescent="0.3">
      <c r="A213" s="23"/>
      <c r="B213"/>
      <c r="C213"/>
      <c r="D213"/>
      <c r="E213" s="495"/>
      <c r="F213" s="44"/>
      <c r="G213" s="469">
        <v>1</v>
      </c>
      <c r="H213"/>
      <c r="I213"/>
      <c r="L213"/>
    </row>
    <row r="214" spans="1:12" ht="15" thickBot="1" x14ac:dyDescent="0.35">
      <c r="A214" s="23"/>
      <c r="B214"/>
      <c r="C214"/>
      <c r="D214"/>
      <c r="E214" s="495"/>
      <c r="F214" s="44"/>
      <c r="G214" s="469">
        <v>1</v>
      </c>
      <c r="H214"/>
      <c r="I214"/>
      <c r="L214"/>
    </row>
    <row r="215" spans="1:12" ht="22.8" customHeight="1" thickBot="1" x14ac:dyDescent="0.35">
      <c r="A215" s="23" t="s">
        <v>1558</v>
      </c>
      <c r="B215" s="1150" t="s">
        <v>1747</v>
      </c>
      <c r="C215" s="1151"/>
      <c r="D215"/>
      <c r="E215" s="1146"/>
      <c r="F215" s="1147"/>
      <c r="G215" s="469">
        <v>1</v>
      </c>
      <c r="H215"/>
      <c r="I215"/>
      <c r="L215"/>
    </row>
    <row r="216" spans="1:12" ht="31.2" customHeight="1" thickBot="1" x14ac:dyDescent="0.35">
      <c r="A216" s="1" t="s">
        <v>1559</v>
      </c>
      <c r="B216" s="1150" t="s">
        <v>1745</v>
      </c>
      <c r="C216" s="1151"/>
      <c r="D216"/>
      <c r="E216" s="1148"/>
      <c r="F216" s="1149"/>
      <c r="G216" s="469">
        <v>1</v>
      </c>
      <c r="H216"/>
      <c r="I216"/>
      <c r="L216"/>
    </row>
    <row r="217" spans="1:12" ht="15" thickBot="1" x14ac:dyDescent="0.35">
      <c r="A217"/>
      <c r="B217"/>
      <c r="C217"/>
      <c r="D217"/>
      <c r="E217" s="44"/>
      <c r="F217" s="44"/>
      <c r="G217" s="469">
        <v>1</v>
      </c>
      <c r="H217"/>
      <c r="I217"/>
      <c r="L217"/>
    </row>
    <row r="218" spans="1:12" ht="31.2" customHeight="1" thickBot="1" x14ac:dyDescent="0.35">
      <c r="A218" s="23" t="s">
        <v>1558</v>
      </c>
      <c r="B218" s="1150" t="s">
        <v>1748</v>
      </c>
      <c r="C218" s="1151"/>
      <c r="D218"/>
      <c r="E218" s="1146"/>
      <c r="F218" s="1147"/>
      <c r="G218" s="469">
        <f t="shared" ref="G218:G220" si="11">G216</f>
        <v>1</v>
      </c>
      <c r="H218"/>
      <c r="I218"/>
      <c r="L218"/>
    </row>
    <row r="219" spans="1:12" ht="31.2" customHeight="1" thickBot="1" x14ac:dyDescent="0.35">
      <c r="A219" s="1" t="s">
        <v>1559</v>
      </c>
      <c r="B219" s="1150" t="s">
        <v>1746</v>
      </c>
      <c r="C219" s="1151"/>
      <c r="D219"/>
      <c r="E219" s="1148"/>
      <c r="F219" s="1149"/>
      <c r="G219" s="469">
        <f t="shared" si="11"/>
        <v>1</v>
      </c>
      <c r="H219"/>
      <c r="I219"/>
      <c r="L219"/>
    </row>
    <row r="220" spans="1:12" ht="14.4" x14ac:dyDescent="0.3">
      <c r="A220"/>
      <c r="B220"/>
      <c r="C220"/>
      <c r="D220"/>
      <c r="E220" s="44"/>
      <c r="F220" s="44"/>
      <c r="G220" s="469">
        <f t="shared" si="11"/>
        <v>1</v>
      </c>
      <c r="H220"/>
      <c r="I220"/>
      <c r="J220"/>
      <c r="K220"/>
      <c r="L220"/>
    </row>
    <row r="221" spans="1:12" ht="14.4" hidden="1" x14ac:dyDescent="0.3">
      <c r="A221"/>
      <c r="B221"/>
      <c r="C221"/>
      <c r="D221"/>
      <c r="E221" s="44"/>
      <c r="F221" s="44"/>
      <c r="G221"/>
      <c r="H221"/>
      <c r="I221"/>
      <c r="J221"/>
      <c r="K221"/>
      <c r="L221"/>
    </row>
  </sheetData>
  <sheetProtection selectLockedCells="1" autoFilter="0"/>
  <autoFilter ref="G2:G221" xr:uid="{2112727F-54D9-4F8E-A5A6-348130A51CAF}">
    <filterColumn colId="0">
      <filters>
        <filter val="1"/>
      </filters>
    </filterColumn>
  </autoFilter>
  <mergeCells count="169">
    <mergeCell ref="A208:F209"/>
    <mergeCell ref="A203:E203"/>
    <mergeCell ref="A204:E204"/>
    <mergeCell ref="A205:E205"/>
    <mergeCell ref="A206:E206"/>
    <mergeCell ref="A192:E192"/>
    <mergeCell ref="A193:E193"/>
    <mergeCell ref="A196:E196"/>
    <mergeCell ref="A197:E197"/>
    <mergeCell ref="A198:E198"/>
    <mergeCell ref="A199:E199"/>
    <mergeCell ref="A200:E200"/>
    <mergeCell ref="A201:E201"/>
    <mergeCell ref="A202:E202"/>
    <mergeCell ref="A2:F3"/>
    <mergeCell ref="A166:B166"/>
    <mergeCell ref="A167:B167"/>
    <mergeCell ref="A168:B168"/>
    <mergeCell ref="A169:B169"/>
    <mergeCell ref="A170:B170"/>
    <mergeCell ref="A161:B161"/>
    <mergeCell ref="A162:B162"/>
    <mergeCell ref="A163:B163"/>
    <mergeCell ref="A164:B164"/>
    <mergeCell ref="A165:B165"/>
    <mergeCell ref="A156:B156"/>
    <mergeCell ref="A157:B157"/>
    <mergeCell ref="A158:B158"/>
    <mergeCell ref="A159:B159"/>
    <mergeCell ref="A160:B160"/>
    <mergeCell ref="A149:F150"/>
    <mergeCell ref="A151:F152"/>
    <mergeCell ref="A132:C132"/>
    <mergeCell ref="A133:C133"/>
    <mergeCell ref="A134:C134"/>
    <mergeCell ref="A135:C135"/>
    <mergeCell ref="A136:C136"/>
    <mergeCell ref="A127:C127"/>
    <mergeCell ref="E215:F216"/>
    <mergeCell ref="E218:F219"/>
    <mergeCell ref="B215:C215"/>
    <mergeCell ref="B216:C216"/>
    <mergeCell ref="B218:C218"/>
    <mergeCell ref="B219:C219"/>
    <mergeCell ref="A171:B171"/>
    <mergeCell ref="A172:B172"/>
    <mergeCell ref="A173:B173"/>
    <mergeCell ref="A174:B174"/>
    <mergeCell ref="A175:B175"/>
    <mergeCell ref="A179:E179"/>
    <mergeCell ref="A180:E180"/>
    <mergeCell ref="A181:E181"/>
    <mergeCell ref="A182:E182"/>
    <mergeCell ref="A183:E183"/>
    <mergeCell ref="A184:E184"/>
    <mergeCell ref="A185:E185"/>
    <mergeCell ref="A186:E186"/>
    <mergeCell ref="A187:E187"/>
    <mergeCell ref="A188:E188"/>
    <mergeCell ref="A189:E189"/>
    <mergeCell ref="A190:E190"/>
    <mergeCell ref="A191:E191"/>
    <mergeCell ref="A128:C128"/>
    <mergeCell ref="A129:C129"/>
    <mergeCell ref="A116:B116"/>
    <mergeCell ref="A142:C142"/>
    <mergeCell ref="A143:C143"/>
    <mergeCell ref="A144:C144"/>
    <mergeCell ref="A145:C145"/>
    <mergeCell ref="A146:C146"/>
    <mergeCell ref="A137:C137"/>
    <mergeCell ref="A138:C138"/>
    <mergeCell ref="A139:C139"/>
    <mergeCell ref="A140:C140"/>
    <mergeCell ref="A141:C141"/>
    <mergeCell ref="A86:D86"/>
    <mergeCell ref="A87:D87"/>
    <mergeCell ref="A130:C130"/>
    <mergeCell ref="A131:C131"/>
    <mergeCell ref="A88:D88"/>
    <mergeCell ref="A89:D89"/>
    <mergeCell ref="A90:D90"/>
    <mergeCell ref="A97:B97"/>
    <mergeCell ref="A98:B98"/>
    <mergeCell ref="A99:B99"/>
    <mergeCell ref="A100:B100"/>
    <mergeCell ref="A101:B101"/>
    <mergeCell ref="A119:F120"/>
    <mergeCell ref="A121:F122"/>
    <mergeCell ref="A111:B111"/>
    <mergeCell ref="A112:B112"/>
    <mergeCell ref="A113:B113"/>
    <mergeCell ref="A114:B114"/>
    <mergeCell ref="A106:B106"/>
    <mergeCell ref="A107:B107"/>
    <mergeCell ref="A108:B108"/>
    <mergeCell ref="A109:B109"/>
    <mergeCell ref="A110:B110"/>
    <mergeCell ref="A115:B115"/>
    <mergeCell ref="A65:D65"/>
    <mergeCell ref="A66:D66"/>
    <mergeCell ref="A67:D67"/>
    <mergeCell ref="A81:D81"/>
    <mergeCell ref="A82:D82"/>
    <mergeCell ref="A83:D83"/>
    <mergeCell ref="A84:D84"/>
    <mergeCell ref="A85:D85"/>
    <mergeCell ref="A76:D76"/>
    <mergeCell ref="A77:D77"/>
    <mergeCell ref="A78:D78"/>
    <mergeCell ref="A79:D79"/>
    <mergeCell ref="A80:D80"/>
    <mergeCell ref="A48:D48"/>
    <mergeCell ref="A49:D49"/>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58:D58"/>
    <mergeCell ref="A59:D59"/>
    <mergeCell ref="A102:B102"/>
    <mergeCell ref="A103:B103"/>
    <mergeCell ref="A104:B104"/>
    <mergeCell ref="A105:B105"/>
    <mergeCell ref="A50:D50"/>
    <mergeCell ref="A51:D51"/>
    <mergeCell ref="A52:D52"/>
    <mergeCell ref="A60:D60"/>
    <mergeCell ref="A61:D61"/>
    <mergeCell ref="A62:D62"/>
    <mergeCell ref="A53:D53"/>
    <mergeCell ref="A54:D54"/>
    <mergeCell ref="A55:D55"/>
    <mergeCell ref="A56:D56"/>
    <mergeCell ref="A57:D57"/>
    <mergeCell ref="A71:D71"/>
    <mergeCell ref="A72:D72"/>
    <mergeCell ref="A73:D73"/>
    <mergeCell ref="A74:D74"/>
    <mergeCell ref="A75:D75"/>
    <mergeCell ref="A63:D63"/>
    <mergeCell ref="A64:D64"/>
    <mergeCell ref="B18:F18"/>
    <mergeCell ref="B19:F19"/>
    <mergeCell ref="B9:F9"/>
    <mergeCell ref="B10:F10"/>
    <mergeCell ref="B11:F11"/>
    <mergeCell ref="B12:F12"/>
    <mergeCell ref="B13:F13"/>
    <mergeCell ref="B14:F14"/>
    <mergeCell ref="B15:F15"/>
    <mergeCell ref="B16:F16"/>
    <mergeCell ref="B17:F17"/>
  </mergeCells>
  <pageMargins left="0.70866141732283472" right="0.70866141732283472" top="0.74803149606299213" bottom="0.74803149606299213" header="0.31496062992125984" footer="0.31496062992125984"/>
  <pageSetup paperSize="9" scale="89" orientation="portrait" r:id="rId1"/>
  <headerFooter>
    <oddFooter>&amp;CPrijsaanvraag &amp;R&amp;P/&amp;N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57B2A-D6F9-4B27-8F8A-9F22680EAD40}">
  <sheetPr codeName="Blad3">
    <tabColor rgb="FF92D050"/>
  </sheetPr>
  <dimension ref="A1:AB64"/>
  <sheetViews>
    <sheetView topLeftCell="A6" workbookViewId="0">
      <selection activeCell="H33" sqref="H33"/>
    </sheetView>
  </sheetViews>
  <sheetFormatPr defaultRowHeight="14.4" x14ac:dyDescent="0.3"/>
  <cols>
    <col min="1" max="1" width="16.33203125" customWidth="1"/>
    <col min="3" max="3" width="28" customWidth="1"/>
    <col min="4" max="4" width="18.88671875" customWidth="1"/>
    <col min="5" max="5" width="18.33203125" customWidth="1"/>
    <col min="6" max="6" width="17.88671875" customWidth="1"/>
    <col min="7" max="7" width="15.109375" bestFit="1" customWidth="1"/>
    <col min="8" max="8" width="20.33203125" customWidth="1"/>
    <col min="9" max="9" width="15.109375" customWidth="1"/>
    <col min="10" max="10" width="16.44140625" customWidth="1"/>
    <col min="11" max="11" width="13" bestFit="1" customWidth="1"/>
    <col min="12" max="12" width="13.33203125" customWidth="1"/>
    <col min="13" max="13" width="12.6640625" customWidth="1"/>
    <col min="17" max="17" width="8.88671875" customWidth="1"/>
    <col min="18" max="18" width="12.109375" customWidth="1"/>
    <col min="19" max="20" width="8.88671875" customWidth="1"/>
    <col min="21" max="21" width="14" hidden="1" customWidth="1"/>
    <col min="22" max="22" width="5" hidden="1" customWidth="1"/>
    <col min="23" max="23" width="29.109375" hidden="1" customWidth="1"/>
    <col min="24" max="24" width="18.5546875" hidden="1" customWidth="1"/>
    <col min="25" max="25" width="3.44140625" hidden="1" customWidth="1"/>
    <col min="26" max="26" width="9.5546875" hidden="1" customWidth="1"/>
    <col min="27" max="27" width="5.88671875" hidden="1" customWidth="1"/>
    <col min="28" max="28" width="8.88671875" hidden="1" customWidth="1"/>
    <col min="29" max="54" width="8.88671875" customWidth="1"/>
  </cols>
  <sheetData>
    <row r="1" spans="1:22" x14ac:dyDescent="0.3">
      <c r="A1" s="563" t="s">
        <v>28</v>
      </c>
      <c r="B1" s="564"/>
      <c r="C1" s="564"/>
      <c r="D1" s="564"/>
      <c r="E1" s="564"/>
      <c r="F1" s="564"/>
      <c r="G1" s="564"/>
      <c r="H1" s="564"/>
      <c r="I1" s="564"/>
      <c r="J1" s="564"/>
      <c r="K1" s="564"/>
      <c r="L1" s="564"/>
      <c r="M1" s="564"/>
      <c r="N1" s="564"/>
      <c r="O1" s="564"/>
      <c r="P1" s="565"/>
    </row>
    <row r="2" spans="1:22" ht="15" thickBot="1" x14ac:dyDescent="0.35">
      <c r="A2" s="566"/>
      <c r="B2" s="567"/>
      <c r="C2" s="567"/>
      <c r="D2" s="567"/>
      <c r="E2" s="567"/>
      <c r="F2" s="567"/>
      <c r="G2" s="567"/>
      <c r="H2" s="567"/>
      <c r="I2" s="567"/>
      <c r="J2" s="567"/>
      <c r="K2" s="567"/>
      <c r="L2" s="567"/>
      <c r="M2" s="567"/>
      <c r="N2" s="567"/>
      <c r="O2" s="567"/>
      <c r="P2" s="568"/>
    </row>
    <row r="3" spans="1:22" ht="15" thickBot="1" x14ac:dyDescent="0.35">
      <c r="A3" s="255" t="s">
        <v>1690</v>
      </c>
      <c r="B3" s="255"/>
      <c r="C3" s="255"/>
      <c r="D3" s="255"/>
      <c r="E3" s="2" t="s">
        <v>1841</v>
      </c>
    </row>
    <row r="4" spans="1:22" ht="15" thickBot="1" x14ac:dyDescent="0.35">
      <c r="A4" s="53" t="s">
        <v>29</v>
      </c>
      <c r="C4" s="245">
        <v>45827</v>
      </c>
      <c r="D4" s="2" t="s">
        <v>30</v>
      </c>
    </row>
    <row r="6" spans="1:22" x14ac:dyDescent="0.3">
      <c r="A6" s="1" t="s">
        <v>31</v>
      </c>
    </row>
    <row r="7" spans="1:22" ht="15" thickBot="1" x14ac:dyDescent="0.35"/>
    <row r="8" spans="1:22" x14ac:dyDescent="0.3">
      <c r="B8" s="587" t="s">
        <v>32</v>
      </c>
      <c r="C8" s="588"/>
      <c r="D8" s="588"/>
      <c r="E8" s="588"/>
      <c r="F8" s="592" t="s">
        <v>1634</v>
      </c>
      <c r="G8" s="593"/>
      <c r="H8" s="593"/>
      <c r="I8" s="593"/>
      <c r="J8" s="593"/>
      <c r="K8" s="593"/>
      <c r="L8" s="593"/>
      <c r="M8" s="594"/>
      <c r="N8" s="2" t="s">
        <v>33</v>
      </c>
      <c r="O8" s="2"/>
      <c r="V8">
        <f>IF(F8&lt;&gt;"",1,0)</f>
        <v>1</v>
      </c>
    </row>
    <row r="9" spans="1:22" x14ac:dyDescent="0.3">
      <c r="B9" s="574" t="s">
        <v>34</v>
      </c>
      <c r="C9" s="575"/>
      <c r="D9" s="575"/>
      <c r="E9" s="575"/>
      <c r="F9" s="576" t="s">
        <v>80</v>
      </c>
      <c r="G9" s="576"/>
      <c r="H9" s="576"/>
      <c r="I9" s="576"/>
      <c r="J9" s="576"/>
      <c r="K9" s="576"/>
      <c r="L9" s="576"/>
      <c r="M9" s="577"/>
      <c r="N9" s="2" t="s">
        <v>1642</v>
      </c>
      <c r="O9" s="2"/>
      <c r="V9">
        <f t="shared" ref="V9:V18" si="0">IF(F9&lt;&gt;"",1,0)</f>
        <v>1</v>
      </c>
    </row>
    <row r="10" spans="1:22" x14ac:dyDescent="0.3">
      <c r="B10" s="574" t="s">
        <v>36</v>
      </c>
      <c r="C10" s="575"/>
      <c r="D10" s="575"/>
      <c r="E10" s="575"/>
      <c r="F10" s="576"/>
      <c r="G10" s="576"/>
      <c r="H10" s="576"/>
      <c r="I10" s="576"/>
      <c r="J10" s="576"/>
      <c r="K10" s="576"/>
      <c r="L10" s="576"/>
      <c r="M10" s="577"/>
      <c r="N10" s="2" t="s">
        <v>1751</v>
      </c>
      <c r="O10" s="2"/>
      <c r="V10">
        <f t="shared" si="0"/>
        <v>0</v>
      </c>
    </row>
    <row r="11" spans="1:22" x14ac:dyDescent="0.3">
      <c r="B11" s="578" t="s">
        <v>37</v>
      </c>
      <c r="C11" s="579"/>
      <c r="D11" s="579"/>
      <c r="E11" s="579"/>
      <c r="F11" s="576" t="s">
        <v>1636</v>
      </c>
      <c r="G11" s="576"/>
      <c r="H11" s="576"/>
      <c r="I11" s="576"/>
      <c r="J11" s="576"/>
      <c r="K11" s="576"/>
      <c r="L11" s="576"/>
      <c r="M11" s="577"/>
      <c r="N11" s="2" t="s">
        <v>38</v>
      </c>
      <c r="O11" s="2"/>
      <c r="V11">
        <f t="shared" si="0"/>
        <v>1</v>
      </c>
    </row>
    <row r="12" spans="1:22" x14ac:dyDescent="0.3">
      <c r="B12" s="578" t="s">
        <v>39</v>
      </c>
      <c r="C12" s="579"/>
      <c r="D12" s="579"/>
      <c r="E12" s="579"/>
      <c r="F12" s="586" t="s">
        <v>1635</v>
      </c>
      <c r="G12" s="584"/>
      <c r="H12" s="584"/>
      <c r="I12" s="584"/>
      <c r="J12" s="584"/>
      <c r="K12" s="584"/>
      <c r="L12" s="584"/>
      <c r="M12" s="585"/>
      <c r="N12" s="2" t="s">
        <v>33</v>
      </c>
      <c r="O12" s="2"/>
      <c r="V12">
        <f t="shared" si="0"/>
        <v>1</v>
      </c>
    </row>
    <row r="13" spans="1:22" x14ac:dyDescent="0.3">
      <c r="B13" s="578" t="s">
        <v>40</v>
      </c>
      <c r="C13" s="579"/>
      <c r="D13" s="579"/>
      <c r="E13" s="579"/>
      <c r="F13" s="586" t="str">
        <f>F11</f>
        <v>straat +nr, postcode + gemeente</v>
      </c>
      <c r="G13" s="584"/>
      <c r="H13" s="584"/>
      <c r="I13" s="584"/>
      <c r="J13" s="584"/>
      <c r="K13" s="584"/>
      <c r="L13" s="584"/>
      <c r="M13" s="585"/>
      <c r="N13" s="2" t="s">
        <v>38</v>
      </c>
      <c r="O13" s="2"/>
      <c r="V13">
        <f t="shared" si="0"/>
        <v>1</v>
      </c>
    </row>
    <row r="14" spans="1:22" x14ac:dyDescent="0.3">
      <c r="B14" s="578" t="s">
        <v>41</v>
      </c>
      <c r="C14" s="579"/>
      <c r="D14" s="579"/>
      <c r="E14" s="579"/>
      <c r="F14" s="586" t="s">
        <v>1637</v>
      </c>
      <c r="G14" s="584"/>
      <c r="H14" s="584"/>
      <c r="I14" s="584"/>
      <c r="J14" s="584"/>
      <c r="K14" s="584"/>
      <c r="L14" s="584"/>
      <c r="M14" s="585"/>
      <c r="N14" s="2" t="s">
        <v>33</v>
      </c>
      <c r="O14" s="2"/>
      <c r="V14">
        <f t="shared" si="0"/>
        <v>1</v>
      </c>
    </row>
    <row r="15" spans="1:22" x14ac:dyDescent="0.3">
      <c r="B15" s="578" t="s">
        <v>42</v>
      </c>
      <c r="C15" s="579"/>
      <c r="D15" s="579"/>
      <c r="E15" s="579"/>
      <c r="F15" s="589" t="s">
        <v>1638</v>
      </c>
      <c r="G15" s="590"/>
      <c r="H15" s="590"/>
      <c r="I15" s="590"/>
      <c r="J15" s="590"/>
      <c r="K15" s="590"/>
      <c r="L15" s="590"/>
      <c r="M15" s="591"/>
      <c r="N15" s="2" t="s">
        <v>33</v>
      </c>
      <c r="O15" s="2"/>
      <c r="V15">
        <f t="shared" si="0"/>
        <v>1</v>
      </c>
    </row>
    <row r="16" spans="1:22" x14ac:dyDescent="0.3">
      <c r="B16" s="578" t="s">
        <v>1719</v>
      </c>
      <c r="C16" s="579"/>
      <c r="D16" s="579"/>
      <c r="E16" s="579"/>
      <c r="F16" s="580" t="s">
        <v>1844</v>
      </c>
      <c r="G16" s="581"/>
      <c r="H16" s="581"/>
      <c r="I16" s="581"/>
      <c r="J16" s="581"/>
      <c r="K16" s="581"/>
      <c r="L16" s="581"/>
      <c r="M16" s="582"/>
      <c r="N16" s="2" t="s">
        <v>33</v>
      </c>
      <c r="O16" s="2"/>
      <c r="V16">
        <f t="shared" si="0"/>
        <v>1</v>
      </c>
    </row>
    <row r="17" spans="1:25" x14ac:dyDescent="0.3">
      <c r="B17" s="578" t="s">
        <v>43</v>
      </c>
      <c r="C17" s="579"/>
      <c r="D17" s="579"/>
      <c r="E17" s="579"/>
      <c r="F17" s="583" t="s">
        <v>1843</v>
      </c>
      <c r="G17" s="584"/>
      <c r="H17" s="584"/>
      <c r="I17" s="584"/>
      <c r="J17" s="584"/>
      <c r="K17" s="584"/>
      <c r="L17" s="584"/>
      <c r="M17" s="585"/>
      <c r="N17" s="2" t="s">
        <v>33</v>
      </c>
      <c r="O17" s="2"/>
      <c r="V17">
        <f t="shared" si="0"/>
        <v>1</v>
      </c>
    </row>
    <row r="18" spans="1:25" ht="15" thickBot="1" x14ac:dyDescent="0.35">
      <c r="B18" s="569" t="s">
        <v>44</v>
      </c>
      <c r="C18" s="570"/>
      <c r="D18" s="570"/>
      <c r="E18" s="570"/>
      <c r="F18" s="571" t="s">
        <v>1639</v>
      </c>
      <c r="G18" s="572"/>
      <c r="H18" s="572"/>
      <c r="I18" s="572"/>
      <c r="J18" s="572"/>
      <c r="K18" s="572"/>
      <c r="L18" s="572"/>
      <c r="M18" s="573"/>
      <c r="N18" s="2" t="s">
        <v>33</v>
      </c>
      <c r="O18" s="2"/>
      <c r="V18">
        <f t="shared" si="0"/>
        <v>1</v>
      </c>
    </row>
    <row r="19" spans="1:25" x14ac:dyDescent="0.3">
      <c r="V19">
        <f>SUM(V8:V18)</f>
        <v>10</v>
      </c>
      <c r="W19">
        <f>11-V19</f>
        <v>1</v>
      </c>
    </row>
    <row r="20" spans="1:25" ht="13.95" x14ac:dyDescent="0.3">
      <c r="A20" s="1" t="s">
        <v>45</v>
      </c>
    </row>
    <row r="21" spans="1:25" ht="13.95" x14ac:dyDescent="0.3">
      <c r="A21" s="1"/>
    </row>
    <row r="22" spans="1:25" ht="13.95" x14ac:dyDescent="0.3">
      <c r="A22" s="53" t="s">
        <v>1596</v>
      </c>
    </row>
    <row r="23" spans="1:25" ht="14.55" thickBot="1" x14ac:dyDescent="0.35">
      <c r="A23" s="53"/>
    </row>
    <row r="24" spans="1:25" x14ac:dyDescent="0.3">
      <c r="A24" s="53"/>
      <c r="B24" s="601" t="s">
        <v>1807</v>
      </c>
      <c r="C24" s="602"/>
      <c r="D24" s="602"/>
      <c r="E24" s="602"/>
      <c r="F24" s="602"/>
      <c r="G24" s="602"/>
      <c r="H24" s="602"/>
      <c r="I24" s="602"/>
      <c r="J24" s="602"/>
      <c r="K24" s="602"/>
      <c r="L24" s="602"/>
      <c r="M24" s="603"/>
    </row>
    <row r="25" spans="1:25" x14ac:dyDescent="0.3">
      <c r="A25" s="53"/>
      <c r="B25" s="604"/>
      <c r="C25" s="605"/>
      <c r="D25" s="605"/>
      <c r="E25" s="605"/>
      <c r="F25" s="605"/>
      <c r="G25" s="605"/>
      <c r="H25" s="605"/>
      <c r="I25" s="605"/>
      <c r="J25" s="605"/>
      <c r="K25" s="605"/>
      <c r="L25" s="605"/>
      <c r="M25" s="606"/>
    </row>
    <row r="26" spans="1:25" x14ac:dyDescent="0.3">
      <c r="A26" s="53"/>
      <c r="B26" s="604"/>
      <c r="C26" s="605"/>
      <c r="D26" s="605"/>
      <c r="E26" s="605"/>
      <c r="F26" s="605"/>
      <c r="G26" s="605"/>
      <c r="H26" s="605"/>
      <c r="I26" s="605"/>
      <c r="J26" s="605"/>
      <c r="K26" s="605"/>
      <c r="L26" s="605"/>
      <c r="M26" s="606"/>
    </row>
    <row r="27" spans="1:25" ht="31.8" customHeight="1" thickBot="1" x14ac:dyDescent="0.35">
      <c r="A27" s="53"/>
      <c r="B27" s="607"/>
      <c r="C27" s="608"/>
      <c r="D27" s="608"/>
      <c r="E27" s="608"/>
      <c r="F27" s="608"/>
      <c r="G27" s="608"/>
      <c r="H27" s="608"/>
      <c r="I27" s="608"/>
      <c r="J27" s="608"/>
      <c r="K27" s="608"/>
      <c r="L27" s="608"/>
      <c r="M27" s="609"/>
    </row>
    <row r="28" spans="1:25" ht="14.55" thickBot="1" x14ac:dyDescent="0.35">
      <c r="A28" s="53"/>
      <c r="F28" s="2" t="s">
        <v>33</v>
      </c>
      <c r="G28" s="2" t="s">
        <v>33</v>
      </c>
      <c r="H28" s="2" t="s">
        <v>33</v>
      </c>
      <c r="I28" s="2" t="s">
        <v>1641</v>
      </c>
      <c r="J28" s="2"/>
      <c r="K28" s="2"/>
      <c r="L28" s="2"/>
      <c r="M28" s="2"/>
    </row>
    <row r="29" spans="1:25" ht="14.55" thickBot="1" x14ac:dyDescent="0.35">
      <c r="A29" s="53"/>
      <c r="C29" s="615" t="s">
        <v>1640</v>
      </c>
      <c r="D29" s="615"/>
      <c r="E29" s="2" t="s">
        <v>33</v>
      </c>
      <c r="F29" s="612" t="s">
        <v>46</v>
      </c>
      <c r="G29" s="613"/>
      <c r="H29" s="613"/>
      <c r="I29" s="614"/>
    </row>
    <row r="30" spans="1:25" x14ac:dyDescent="0.3">
      <c r="C30" s="599" t="s">
        <v>47</v>
      </c>
      <c r="D30" s="610" t="s">
        <v>48</v>
      </c>
      <c r="E30" s="597" t="s">
        <v>1591</v>
      </c>
      <c r="F30" s="595" t="s">
        <v>49</v>
      </c>
      <c r="G30" s="596"/>
      <c r="H30" s="616" t="s">
        <v>1578</v>
      </c>
      <c r="I30" s="617" t="s">
        <v>1584</v>
      </c>
      <c r="U30" s="223" t="s">
        <v>50</v>
      </c>
      <c r="V30" s="47"/>
      <c r="W30" s="47"/>
      <c r="X30" s="47"/>
      <c r="Y30" s="47"/>
    </row>
    <row r="31" spans="1:25" ht="33" customHeight="1" thickBot="1" x14ac:dyDescent="0.35">
      <c r="C31" s="600"/>
      <c r="D31" s="611"/>
      <c r="E31" s="598"/>
      <c r="F31" s="224" t="s">
        <v>51</v>
      </c>
      <c r="G31" s="225" t="s">
        <v>52</v>
      </c>
      <c r="H31" s="536"/>
      <c r="I31" s="618"/>
      <c r="U31" s="47" t="s">
        <v>54</v>
      </c>
      <c r="V31" s="47" t="s">
        <v>55</v>
      </c>
      <c r="W31" s="47" t="s">
        <v>56</v>
      </c>
      <c r="X31" s="47" t="s">
        <v>57</v>
      </c>
      <c r="Y31" s="47"/>
    </row>
    <row r="32" spans="1:25" x14ac:dyDescent="0.3">
      <c r="C32" s="226" t="s">
        <v>58</v>
      </c>
      <c r="D32" s="227" t="s">
        <v>59</v>
      </c>
      <c r="E32" s="248">
        <v>0</v>
      </c>
      <c r="F32" s="246">
        <v>0</v>
      </c>
      <c r="G32" s="247">
        <v>0</v>
      </c>
      <c r="H32" s="248">
        <v>0</v>
      </c>
      <c r="I32" s="228">
        <f t="shared" ref="I32:I36" si="1">SUM(F32:H32)</f>
        <v>0</v>
      </c>
      <c r="U32" s="47">
        <f>SUM(F32:H32)</f>
        <v>0</v>
      </c>
      <c r="V32" s="47">
        <f>IF(U32&gt;0,1,0)</f>
        <v>0</v>
      </c>
      <c r="W32" s="47" t="b">
        <f>SUM(F32:H32)&lt;=E32</f>
        <v>1</v>
      </c>
      <c r="X32" s="47"/>
      <c r="Y32" s="47"/>
    </row>
    <row r="33" spans="1:27" x14ac:dyDescent="0.3">
      <c r="C33" s="117" t="s">
        <v>60</v>
      </c>
      <c r="D33" s="229" t="str">
        <f>D32</f>
        <v>bewoners</v>
      </c>
      <c r="E33" s="251">
        <v>0</v>
      </c>
      <c r="F33" s="249">
        <v>0</v>
      </c>
      <c r="G33" s="250">
        <v>0</v>
      </c>
      <c r="H33" s="251">
        <v>0</v>
      </c>
      <c r="I33" s="228">
        <f t="shared" si="1"/>
        <v>0</v>
      </c>
      <c r="U33" s="47">
        <f>SUM(F33:H33)</f>
        <v>0</v>
      </c>
      <c r="V33" s="47">
        <f>IF(U33&gt;0,2,0)</f>
        <v>0</v>
      </c>
      <c r="W33" s="47" t="b">
        <f>SUM(F33:H33)&lt;=E33</f>
        <v>1</v>
      </c>
      <c r="X33" s="231">
        <v>0.9</v>
      </c>
      <c r="Y33" s="47">
        <f>IF(U33&gt;0,X33,0%)</f>
        <v>0</v>
      </c>
    </row>
    <row r="34" spans="1:27" x14ac:dyDescent="0.3">
      <c r="C34" s="117" t="s">
        <v>1741</v>
      </c>
      <c r="D34" s="229" t="s">
        <v>61</v>
      </c>
      <c r="E34" s="251">
        <v>0</v>
      </c>
      <c r="F34" s="426">
        <v>0</v>
      </c>
      <c r="G34" s="250">
        <v>0</v>
      </c>
      <c r="H34" s="251">
        <v>0</v>
      </c>
      <c r="I34" s="228">
        <f t="shared" si="1"/>
        <v>0</v>
      </c>
      <c r="U34" s="47">
        <f>SUM(F34:H34)</f>
        <v>0</v>
      </c>
      <c r="V34" s="47">
        <f>IF(U34&gt;0,4,0)</f>
        <v>0</v>
      </c>
      <c r="W34" s="47" t="b">
        <f>SUM(F34:H34)&lt;=E34</f>
        <v>1</v>
      </c>
      <c r="X34" s="231">
        <v>1</v>
      </c>
      <c r="Y34" s="47">
        <f t="shared" ref="Y34:Y35" si="2">IF(U34&gt;0,X34,0%)</f>
        <v>0</v>
      </c>
    </row>
    <row r="35" spans="1:27" ht="15" thickBot="1" x14ac:dyDescent="0.35">
      <c r="C35" s="116" t="s">
        <v>53</v>
      </c>
      <c r="D35" s="232" t="s">
        <v>59</v>
      </c>
      <c r="E35" s="254">
        <v>0</v>
      </c>
      <c r="F35" s="427">
        <v>0</v>
      </c>
      <c r="G35" s="252">
        <v>0</v>
      </c>
      <c r="H35" s="253">
        <v>0</v>
      </c>
      <c r="I35" s="228">
        <f t="shared" si="1"/>
        <v>0</v>
      </c>
      <c r="U35" s="47">
        <f>SUM(F35:H35)</f>
        <v>0</v>
      </c>
      <c r="V35" s="47">
        <f>IF(U35&gt;0,8,0)</f>
        <v>0</v>
      </c>
      <c r="W35" s="47" t="b">
        <f>SUM(F35:H35)&lt;=E35</f>
        <v>1</v>
      </c>
      <c r="X35" s="231">
        <v>0.95</v>
      </c>
      <c r="Y35" s="47">
        <f t="shared" si="2"/>
        <v>0</v>
      </c>
    </row>
    <row r="36" spans="1:27" ht="15" thickBot="1" x14ac:dyDescent="0.35">
      <c r="E36" s="220" t="s">
        <v>62</v>
      </c>
      <c r="F36" s="233">
        <f>SUM(F32:F35)</f>
        <v>0</v>
      </c>
      <c r="G36" s="234">
        <f>SUM(G32:G35)</f>
        <v>0</v>
      </c>
      <c r="H36" s="235">
        <f t="shared" ref="H36" si="3">SUM(H32:H35)</f>
        <v>0</v>
      </c>
      <c r="I36" s="190">
        <f t="shared" si="1"/>
        <v>0</v>
      </c>
      <c r="U36" s="47"/>
      <c r="V36" s="47">
        <f>SUM(V32:V35)</f>
        <v>0</v>
      </c>
      <c r="W36" s="47"/>
      <c r="X36" s="47"/>
      <c r="Y36" s="236">
        <f>SUM(Y33:Y35)</f>
        <v>0</v>
      </c>
    </row>
    <row r="37" spans="1:27" x14ac:dyDescent="0.3">
      <c r="AA37" s="3"/>
    </row>
    <row r="38" spans="1:27" x14ac:dyDescent="0.3">
      <c r="C38" s="1" t="s">
        <v>63</v>
      </c>
    </row>
    <row r="39" spans="1:27" x14ac:dyDescent="0.3">
      <c r="C39" t="s">
        <v>1689</v>
      </c>
      <c r="H39" t="str">
        <f>IF(AND(W32,W33,W34,W35),"OK", "NIET OK")</f>
        <v>OK</v>
      </c>
    </row>
    <row r="40" spans="1:27" ht="15" thickBot="1" x14ac:dyDescent="0.35"/>
    <row r="41" spans="1:27" x14ac:dyDescent="0.3">
      <c r="C41" t="s">
        <v>64</v>
      </c>
      <c r="H41" t="str">
        <f>IF(OR(V36=0,V36=1,V36=2,V36=3,V36=4,V36=8),"OK","NIET OK")</f>
        <v>OK</v>
      </c>
      <c r="I41" s="237" t="s">
        <v>1585</v>
      </c>
      <c r="J41" s="164"/>
      <c r="K41" s="164"/>
      <c r="L41" s="164"/>
      <c r="M41" s="164"/>
      <c r="N41" s="164"/>
      <c r="O41" s="221"/>
    </row>
    <row r="42" spans="1:27" ht="15" thickBot="1" x14ac:dyDescent="0.35">
      <c r="I42" s="238" t="s">
        <v>1586</v>
      </c>
      <c r="J42" s="167"/>
      <c r="K42" s="167"/>
      <c r="L42" s="167"/>
      <c r="M42" s="167"/>
      <c r="N42" s="167"/>
      <c r="O42" s="222"/>
    </row>
    <row r="43" spans="1:27" x14ac:dyDescent="0.3">
      <c r="I43" s="239"/>
    </row>
    <row r="45" spans="1:27" x14ac:dyDescent="0.3">
      <c r="A45" s="53" t="s">
        <v>65</v>
      </c>
    </row>
    <row r="47" spans="1:27" x14ac:dyDescent="0.3">
      <c r="C47" t="str">
        <f>IF(OR(V36=1,V36=3), "U vraagt de prijs aan met betrekking tot woongelegenheden in een woonzorgcentrum. Hiervoor wordt de sectoriële bezettingsgraad gehanteerd:", IF(V36=4,"U doet een prijsaanvraag voor het CDV. De bezettingsgraad bedraagt dan 100%",IF((V36=2), "U vraagt de prijs aan louter met betrekking tot het kortverblijf.De bezettingsgraad bedraagt dan 90%",IF(V36=8,"U vraagt de prijs aan louter voor GAW's.De bezettingsgraad bedraagt dan 95%.",""))))</f>
        <v/>
      </c>
      <c r="K47" s="425">
        <f>'Parameters+keuzes'!C22</f>
        <v>0.93969999999999998</v>
      </c>
      <c r="L47" s="2"/>
      <c r="W47" s="230" t="s">
        <v>66</v>
      </c>
      <c r="X47" s="240"/>
      <c r="Y47" s="240"/>
      <c r="Z47" s="240"/>
      <c r="AA47" s="241">
        <f>MIN(IF(OR(V36=1,V36=3),K47,Y36),100%)</f>
        <v>0</v>
      </c>
    </row>
    <row r="48" spans="1:27" x14ac:dyDescent="0.3">
      <c r="W48" s="230" t="s">
        <v>1587</v>
      </c>
      <c r="X48" s="240"/>
      <c r="Y48" s="240"/>
      <c r="Z48" s="240"/>
      <c r="AA48" s="229" t="str">
        <f>IF(H32&gt;0,C32,IF(H33&gt;0,C33,IF(H34&gt;0,C34,IF(H35&gt;0,C35,""))))</f>
        <v/>
      </c>
    </row>
    <row r="49" spans="1:12" x14ac:dyDescent="0.3">
      <c r="K49" s="242"/>
      <c r="L49" s="2"/>
    </row>
    <row r="51" spans="1:12" x14ac:dyDescent="0.3">
      <c r="K51" s="242"/>
      <c r="L51" s="2"/>
    </row>
    <row r="53" spans="1:12" x14ac:dyDescent="0.3">
      <c r="A53" s="1" t="s">
        <v>67</v>
      </c>
    </row>
    <row r="55" spans="1:12" x14ac:dyDescent="0.3">
      <c r="C55" t="s">
        <v>68</v>
      </c>
      <c r="D55" s="256">
        <v>2023</v>
      </c>
      <c r="E55" s="2" t="s">
        <v>1762</v>
      </c>
    </row>
    <row r="56" spans="1:12" x14ac:dyDescent="0.3">
      <c r="C56" t="s">
        <v>69</v>
      </c>
      <c r="D56" s="242">
        <f>VLOOKUP(D55,'Parameters+keuzes'!A12:C17,3,0)</f>
        <v>4.7E-2</v>
      </c>
    </row>
    <row r="61" spans="1:12" x14ac:dyDescent="0.3">
      <c r="F61" s="243"/>
      <c r="G61" s="244"/>
    </row>
    <row r="62" spans="1:12" x14ac:dyDescent="0.3">
      <c r="F62" s="243"/>
      <c r="G62" s="244"/>
    </row>
    <row r="63" spans="1:12" x14ac:dyDescent="0.3">
      <c r="F63" s="243"/>
      <c r="G63" s="244"/>
    </row>
    <row r="64" spans="1:12" x14ac:dyDescent="0.3">
      <c r="F64" s="243"/>
      <c r="G64" s="244"/>
    </row>
  </sheetData>
  <sheetProtection algorithmName="SHA-512" hashValue="hk+ey/CFs2jhUdG3Hcf4Qm7RRg8xP43t/ryhlabL97MsMe9zCkW0s3ILHRco+SKivZDnUSaiGt4HNWHc+9bdJQ==" saltValue="M+sf2/XfYv/G6Z8XwExs/A==" spinCount="100000" sheet="1" formatCells="0" formatColumns="0" formatRows="0" insertHyperlinks="0" sort="0" autoFilter="0" pivotTables="0"/>
  <mergeCells count="32">
    <mergeCell ref="F30:G30"/>
    <mergeCell ref="E30:E31"/>
    <mergeCell ref="C30:C31"/>
    <mergeCell ref="B24:M27"/>
    <mergeCell ref="D30:D31"/>
    <mergeCell ref="F29:I29"/>
    <mergeCell ref="C29:D29"/>
    <mergeCell ref="H30:H31"/>
    <mergeCell ref="I30:I31"/>
    <mergeCell ref="B15:E15"/>
    <mergeCell ref="F15:M15"/>
    <mergeCell ref="F8:M8"/>
    <mergeCell ref="F11:M11"/>
    <mergeCell ref="B12:E12"/>
    <mergeCell ref="F12:M12"/>
    <mergeCell ref="B10:E10"/>
    <mergeCell ref="A1:P2"/>
    <mergeCell ref="B18:E18"/>
    <mergeCell ref="F18:M18"/>
    <mergeCell ref="B9:E9"/>
    <mergeCell ref="F9:M9"/>
    <mergeCell ref="B16:E16"/>
    <mergeCell ref="F16:M16"/>
    <mergeCell ref="B17:E17"/>
    <mergeCell ref="F17:M17"/>
    <mergeCell ref="B13:E13"/>
    <mergeCell ref="F13:M13"/>
    <mergeCell ref="B14:E14"/>
    <mergeCell ref="F14:M14"/>
    <mergeCell ref="B8:E8"/>
    <mergeCell ref="F10:M10"/>
    <mergeCell ref="B11:E11"/>
  </mergeCells>
  <conditionalFormatting sqref="C39:H39">
    <cfRule type="expression" dxfId="31" priority="4">
      <formula>$H$39="NIET OK"</formula>
    </cfRule>
  </conditionalFormatting>
  <conditionalFormatting sqref="C41:H41">
    <cfRule type="expression" dxfId="30" priority="16">
      <formula>$H$41="Niet ok"</formula>
    </cfRule>
  </conditionalFormatting>
  <conditionalFormatting sqref="C32:I35">
    <cfRule type="expression" dxfId="29" priority="30">
      <formula>$W32=FALSE</formula>
    </cfRule>
  </conditionalFormatting>
  <conditionalFormatting sqref="E32:H33">
    <cfRule type="expression" dxfId="28" priority="25">
      <formula>AND(E32&gt;0,OR($V$34&gt;0,$V$35&gt;0))</formula>
    </cfRule>
  </conditionalFormatting>
  <conditionalFormatting sqref="E34:H34">
    <cfRule type="expression" dxfId="27" priority="24">
      <formula>AND(E34&gt;0, OR($V$32&gt;0,$V$33&gt;0,$V$35&gt;0))</formula>
    </cfRule>
  </conditionalFormatting>
  <conditionalFormatting sqref="E35:H35">
    <cfRule type="expression" dxfId="26" priority="3">
      <formula>AND(E35&gt;0, OR($V$32&gt;0,$V$33&gt;0,$V$34&gt;0))</formula>
    </cfRule>
  </conditionalFormatting>
  <conditionalFormatting sqref="K47">
    <cfRule type="expression" dxfId="25" priority="27">
      <formula>NOT(OR(V36=1,V36=3))</formula>
    </cfRule>
    <cfRule type="expression" dxfId="24" priority="29">
      <formula>OR(V36=1,V36=3)</formula>
    </cfRule>
  </conditionalFormatting>
  <conditionalFormatting sqref="L47">
    <cfRule type="expression" priority="1">
      <formula>OR(V36=1,V36=3)</formula>
    </cfRule>
    <cfRule type="expression" dxfId="23" priority="2">
      <formula>NOT(OR(V36=1,V36=3))</formula>
    </cfRule>
  </conditionalFormatting>
  <dataValidations count="5">
    <dataValidation type="whole" allowBlank="1" showInputMessage="1" showErrorMessage="1" sqref="E32:H33" xr:uid="{C2BD2A4D-F3CE-4E14-B999-3991DAE31B14}">
      <formula1>0</formula1>
      <formula2>1E+28</formula2>
    </dataValidation>
    <dataValidation type="whole" allowBlank="1" showInputMessage="1" showErrorMessage="1" sqref="G34:H35" xr:uid="{13165583-AC8B-4630-9F36-4EDB91B31EE2}">
      <formula1>0</formula1>
      <formula2>1000000000000000000</formula2>
    </dataValidation>
    <dataValidation type="whole" allowBlank="1" showInputMessage="1" showErrorMessage="1" sqref="E34:E35" xr:uid="{D2318747-E79E-4468-9DCE-60E2E2667AAD}">
      <formula1>0</formula1>
      <formula2>10000000000000000000</formula2>
    </dataValidation>
    <dataValidation type="decimal" allowBlank="1" showInputMessage="1" showErrorMessage="1" errorTitle="foute bezetting" error="U moet een positief percentage (geen tekst) invoeren dat maximaal 100% bedraagt." sqref="K47" xr:uid="{2B09045C-D066-49A8-8BE2-022CCD73FB8C}">
      <formula1>0</formula1>
      <formula2>1</formula2>
    </dataValidation>
    <dataValidation type="whole" allowBlank="1" showInputMessage="1" showErrorMessage="1" errorTitle="Geheel getal tussen 2016 en 2051" error="Gelieve een geheel getal in te voeren voor het jaar dat ten vroegste in 2021 en ten laatste in 2026" sqref="D55" xr:uid="{BFAC8819-5F13-4D91-9F12-0BFFDCB33972}">
      <formula1>2021</formula1>
      <formula2>2026</formula2>
    </dataValidation>
  </dataValidations>
  <hyperlinks>
    <hyperlink ref="F31" location="infraforfait" display="Met forfait" xr:uid="{BE51D7DA-07F2-40C7-B250-74D10D08893D}"/>
    <hyperlink ref="G31" location="infra_exforfait" display="Zonder forfait" xr:uid="{83290143-903D-4202-9240-5CCC1A2968A1}"/>
    <hyperlink ref="F15" r:id="rId1" xr:uid="{D82F5D83-F0F2-41B8-AA9C-AD1B2EFB9239}"/>
    <hyperlink ref="H30" location="exGAW" display="Alle zorgvormen zonder GAW" xr:uid="{EFD1DC41-F6A7-4F28-B107-8DADDE04500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6AD624EE-3763-44A0-828A-707F7CDBE3AF}">
          <x14:formula1>
            <xm:f>'Parameters+keuzes'!$P$12:$P$21</xm:f>
          </x14:formula1>
          <xm:sqref>F9:M9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6BCD6-16CB-456C-87D1-BB2A71D03637}">
  <sheetPr codeName="Blad5">
    <tabColor rgb="FFFF0000"/>
  </sheetPr>
  <dimension ref="A1:R48"/>
  <sheetViews>
    <sheetView workbookViewId="0">
      <selection activeCell="B8" sqref="B8"/>
    </sheetView>
  </sheetViews>
  <sheetFormatPr defaultRowHeight="14.4" x14ac:dyDescent="0.3"/>
  <cols>
    <col min="1" max="1" width="40.88671875" bestFit="1" customWidth="1"/>
    <col min="2" max="2" width="38.88671875" customWidth="1"/>
    <col min="3" max="3" width="21.33203125" customWidth="1"/>
    <col min="4" max="4" width="10.5546875" bestFit="1" customWidth="1"/>
    <col min="6" max="6" width="9.5546875" bestFit="1" customWidth="1"/>
    <col min="7" max="7" width="24" customWidth="1"/>
    <col min="15" max="18" width="11.33203125" hidden="1" customWidth="1"/>
  </cols>
  <sheetData>
    <row r="1" spans="1:16" x14ac:dyDescent="0.3">
      <c r="A1" s="169" t="s">
        <v>70</v>
      </c>
      <c r="G1" s="169" t="s">
        <v>71</v>
      </c>
      <c r="P1" s="1" t="s">
        <v>72</v>
      </c>
    </row>
    <row r="2" spans="1:16" ht="15" thickBot="1" x14ac:dyDescent="0.35">
      <c r="A2" s="1"/>
      <c r="G2" s="1"/>
      <c r="P2" s="1"/>
    </row>
    <row r="3" spans="1:16" x14ac:dyDescent="0.3">
      <c r="A3" s="601" t="s">
        <v>1660</v>
      </c>
      <c r="B3" s="602"/>
      <c r="C3" s="602"/>
      <c r="D3" s="602"/>
      <c r="E3" s="603"/>
      <c r="G3" s="1"/>
      <c r="P3" s="1"/>
    </row>
    <row r="4" spans="1:16" x14ac:dyDescent="0.3">
      <c r="A4" s="604"/>
      <c r="B4" s="605"/>
      <c r="C4" s="605"/>
      <c r="D4" s="605"/>
      <c r="E4" s="606"/>
      <c r="G4" s="1"/>
      <c r="P4" s="1"/>
    </row>
    <row r="5" spans="1:16" ht="15" thickBot="1" x14ac:dyDescent="0.35">
      <c r="A5" s="607"/>
      <c r="B5" s="608"/>
      <c r="C5" s="608"/>
      <c r="D5" s="608"/>
      <c r="E5" s="609"/>
      <c r="G5" s="1"/>
      <c r="P5" s="1"/>
    </row>
    <row r="6" spans="1:16" ht="15" thickBot="1" x14ac:dyDescent="0.35">
      <c r="A6" s="212"/>
      <c r="B6" s="212"/>
      <c r="C6" s="212"/>
      <c r="D6" s="212"/>
      <c r="E6" s="212"/>
      <c r="G6" s="1"/>
      <c r="P6" s="1"/>
    </row>
    <row r="7" spans="1:16" s="10" customFormat="1" ht="15" thickBot="1" x14ac:dyDescent="0.35">
      <c r="A7" s="218" t="s">
        <v>1661</v>
      </c>
      <c r="B7" s="219">
        <v>2025</v>
      </c>
      <c r="C7" s="51"/>
      <c r="D7" s="51"/>
      <c r="E7" s="51"/>
      <c r="G7" s="5"/>
      <c r="P7" s="5"/>
    </row>
    <row r="9" spans="1:16" x14ac:dyDescent="0.3">
      <c r="A9" s="53" t="s">
        <v>73</v>
      </c>
      <c r="P9" t="s">
        <v>1</v>
      </c>
    </row>
    <row r="10" spans="1:16" ht="15" thickBot="1" x14ac:dyDescent="0.35">
      <c r="A10" s="53"/>
      <c r="P10" t="s">
        <v>3</v>
      </c>
    </row>
    <row r="11" spans="1:16" ht="15" thickBot="1" x14ac:dyDescent="0.35">
      <c r="A11" s="179" t="s">
        <v>68</v>
      </c>
      <c r="B11" s="180" t="s">
        <v>75</v>
      </c>
      <c r="C11" s="181" t="s">
        <v>76</v>
      </c>
      <c r="D11" t="s">
        <v>77</v>
      </c>
      <c r="P11" t="s">
        <v>78</v>
      </c>
    </row>
    <row r="12" spans="1:16" x14ac:dyDescent="0.3">
      <c r="A12" s="176">
        <v>2021</v>
      </c>
      <c r="B12" s="177">
        <f>MAX(ROUND(AVERAGE('OLO-basis'!E234:E255)/100,4),1%)</f>
        <v>0.01</v>
      </c>
      <c r="C12" s="178">
        <f>2%+B12</f>
        <v>0.03</v>
      </c>
      <c r="D12" s="182">
        <v>44196</v>
      </c>
      <c r="G12" s="1" t="s">
        <v>1643</v>
      </c>
      <c r="H12" s="85" t="s">
        <v>74</v>
      </c>
      <c r="P12" t="s">
        <v>80</v>
      </c>
    </row>
    <row r="13" spans="1:16" x14ac:dyDescent="0.3">
      <c r="A13" s="117">
        <v>2022</v>
      </c>
      <c r="B13" s="172">
        <f>MAX(ROUND(AVERAGE('OLO-basis'!E485:E507)/100,4),1%)</f>
        <v>0.01</v>
      </c>
      <c r="C13" s="174">
        <f t="shared" ref="C13:C17" si="0">2%+B13</f>
        <v>0.03</v>
      </c>
      <c r="D13" s="182">
        <v>44561</v>
      </c>
      <c r="G13" s="1" t="s">
        <v>1644</v>
      </c>
      <c r="H13" t="s">
        <v>1691</v>
      </c>
      <c r="P13" t="s">
        <v>82</v>
      </c>
    </row>
    <row r="14" spans="1:16" x14ac:dyDescent="0.3">
      <c r="A14" s="117">
        <v>2023</v>
      </c>
      <c r="B14" s="173">
        <f>MAX(ROUND(AVERAGE('OLO-basis'!E737:E757)/100,4),1%)</f>
        <v>2.7E-2</v>
      </c>
      <c r="C14" s="174">
        <f t="shared" si="0"/>
        <v>4.7E-2</v>
      </c>
      <c r="D14" s="182">
        <v>44926</v>
      </c>
      <c r="H14" t="s">
        <v>81</v>
      </c>
      <c r="P14" t="s">
        <v>83</v>
      </c>
    </row>
    <row r="15" spans="1:16" x14ac:dyDescent="0.3">
      <c r="A15" s="117">
        <v>2024</v>
      </c>
      <c r="B15" s="173">
        <f>MAX(ROUND(AVERAGE('OLO-basis'!E989:E1007)/100,4),1%)</f>
        <v>2.7E-2</v>
      </c>
      <c r="C15" s="174">
        <f t="shared" si="0"/>
        <v>4.7E-2</v>
      </c>
      <c r="D15" s="182">
        <v>45291</v>
      </c>
      <c r="G15" s="1" t="s">
        <v>1645</v>
      </c>
      <c r="H15" t="s">
        <v>79</v>
      </c>
      <c r="P15" t="s">
        <v>84</v>
      </c>
    </row>
    <row r="16" spans="1:16" ht="19.2" customHeight="1" x14ac:dyDescent="0.3">
      <c r="A16" s="117">
        <v>2025</v>
      </c>
      <c r="B16" s="173">
        <f>MAX(ROUND(AVERAGE('OLO-basis'!D1022:D1060)/100,4),1%)</f>
        <v>2.8000000000000001E-2</v>
      </c>
      <c r="C16" s="174">
        <f t="shared" si="0"/>
        <v>4.8000000000000001E-2</v>
      </c>
      <c r="D16" s="182">
        <v>45657</v>
      </c>
      <c r="G16" s="1" t="s">
        <v>1649</v>
      </c>
      <c r="H16" t="s">
        <v>1650</v>
      </c>
      <c r="P16" t="s">
        <v>85</v>
      </c>
    </row>
    <row r="17" spans="1:16" ht="15" thickBot="1" x14ac:dyDescent="0.35">
      <c r="A17" s="116">
        <v>2026</v>
      </c>
      <c r="B17" s="48"/>
      <c r="C17" s="175">
        <f t="shared" si="0"/>
        <v>0.02</v>
      </c>
      <c r="D17" s="182">
        <v>46022</v>
      </c>
      <c r="P17" t="s">
        <v>86</v>
      </c>
    </row>
    <row r="18" spans="1:16" x14ac:dyDescent="0.3">
      <c r="P18" t="s">
        <v>87</v>
      </c>
    </row>
    <row r="19" spans="1:16" ht="13.95" x14ac:dyDescent="0.3">
      <c r="A19" s="53" t="s">
        <v>1646</v>
      </c>
      <c r="E19" s="2"/>
      <c r="P19" t="s">
        <v>88</v>
      </c>
    </row>
    <row r="20" spans="1:16" ht="13.95" x14ac:dyDescent="0.3">
      <c r="A20" s="53"/>
      <c r="P20" t="s">
        <v>35</v>
      </c>
    </row>
    <row r="21" spans="1:16" ht="13.95" x14ac:dyDescent="0.3">
      <c r="A21" s="13" t="s">
        <v>89</v>
      </c>
      <c r="B21" s="13" t="s">
        <v>90</v>
      </c>
      <c r="G21" s="1" t="s">
        <v>1643</v>
      </c>
      <c r="H21" s="114" t="s">
        <v>1750</v>
      </c>
      <c r="P21" t="s">
        <v>91</v>
      </c>
    </row>
    <row r="22" spans="1:16" ht="13.95" x14ac:dyDescent="0.3">
      <c r="A22" s="114">
        <v>45291</v>
      </c>
      <c r="B22">
        <v>2024</v>
      </c>
      <c r="C22" s="19">
        <v>0.93969999999999998</v>
      </c>
      <c r="G22" s="1" t="s">
        <v>1644</v>
      </c>
      <c r="H22" t="s">
        <v>1656</v>
      </c>
      <c r="L22" s="37" t="s">
        <v>1665</v>
      </c>
    </row>
    <row r="23" spans="1:16" ht="13.95" x14ac:dyDescent="0.3">
      <c r="A23" s="114"/>
      <c r="C23" s="19"/>
      <c r="F23" s="113"/>
      <c r="G23" s="1" t="s">
        <v>1649</v>
      </c>
      <c r="H23" t="s">
        <v>1651</v>
      </c>
      <c r="I23" s="114"/>
    </row>
    <row r="25" spans="1:16" ht="13.95" x14ac:dyDescent="0.3">
      <c r="A25" s="53" t="s">
        <v>92</v>
      </c>
    </row>
    <row r="26" spans="1:16" ht="13.95" x14ac:dyDescent="0.3">
      <c r="B26" t="s">
        <v>93</v>
      </c>
      <c r="C26" t="s">
        <v>94</v>
      </c>
    </row>
    <row r="27" spans="1:16" x14ac:dyDescent="0.3">
      <c r="B27">
        <v>6.29</v>
      </c>
      <c r="C27" s="13" t="str">
        <f>TEXT(forfait,"#,00")</f>
        <v>6,29</v>
      </c>
      <c r="G27" s="1" t="s">
        <v>1643</v>
      </c>
      <c r="H27" s="85" t="s">
        <v>1657</v>
      </c>
    </row>
    <row r="29" spans="1:16" x14ac:dyDescent="0.3">
      <c r="A29" s="53" t="s">
        <v>95</v>
      </c>
      <c r="E29" s="2"/>
    </row>
    <row r="30" spans="1:16" x14ac:dyDescent="0.3">
      <c r="A30" s="13" t="s">
        <v>96</v>
      </c>
      <c r="B30" s="13" t="s">
        <v>97</v>
      </c>
      <c r="C30" s="13" t="s">
        <v>58</v>
      </c>
      <c r="D30" s="13" t="s">
        <v>53</v>
      </c>
      <c r="G30" s="1" t="s">
        <v>1643</v>
      </c>
      <c r="H30" t="s">
        <v>1647</v>
      </c>
      <c r="I30" t="s">
        <v>1673</v>
      </c>
    </row>
    <row r="31" spans="1:16" x14ac:dyDescent="0.3">
      <c r="A31">
        <v>2022</v>
      </c>
      <c r="B31">
        <v>2023</v>
      </c>
      <c r="C31">
        <v>65</v>
      </c>
      <c r="D31">
        <v>40</v>
      </c>
      <c r="H31" t="s">
        <v>53</v>
      </c>
      <c r="I31" t="s">
        <v>1648</v>
      </c>
    </row>
    <row r="32" spans="1:16" x14ac:dyDescent="0.3">
      <c r="A32">
        <v>2023</v>
      </c>
      <c r="B32">
        <v>2024</v>
      </c>
      <c r="C32">
        <v>71.599999999999994</v>
      </c>
      <c r="D32">
        <v>40</v>
      </c>
      <c r="G32" s="1" t="s">
        <v>1658</v>
      </c>
      <c r="H32" t="s">
        <v>1659</v>
      </c>
    </row>
    <row r="33" spans="1:8" x14ac:dyDescent="0.3">
      <c r="G33" s="1" t="s">
        <v>1649</v>
      </c>
      <c r="H33" t="s">
        <v>1652</v>
      </c>
    </row>
    <row r="36" spans="1:8" x14ac:dyDescent="0.3">
      <c r="A36" s="53" t="s">
        <v>98</v>
      </c>
    </row>
    <row r="37" spans="1:8" x14ac:dyDescent="0.3">
      <c r="A37" t="s">
        <v>99</v>
      </c>
      <c r="G37" s="1" t="s">
        <v>1643</v>
      </c>
      <c r="H37" s="85" t="s">
        <v>1653</v>
      </c>
    </row>
    <row r="38" spans="1:8" x14ac:dyDescent="0.3">
      <c r="A38">
        <v>2017</v>
      </c>
      <c r="B38">
        <v>103.72</v>
      </c>
      <c r="G38" s="1" t="s">
        <v>1654</v>
      </c>
      <c r="H38" t="s">
        <v>1655</v>
      </c>
    </row>
    <row r="39" spans="1:8" x14ac:dyDescent="0.3">
      <c r="A39">
        <v>2018</v>
      </c>
      <c r="B39">
        <v>106.01</v>
      </c>
    </row>
    <row r="40" spans="1:8" x14ac:dyDescent="0.3">
      <c r="A40">
        <v>2019</v>
      </c>
      <c r="B40">
        <v>106.76</v>
      </c>
    </row>
    <row r="41" spans="1:8" x14ac:dyDescent="0.3">
      <c r="A41">
        <v>2020</v>
      </c>
      <c r="B41">
        <v>107.72</v>
      </c>
    </row>
    <row r="42" spans="1:8" x14ac:dyDescent="0.3">
      <c r="A42">
        <v>2021</v>
      </c>
      <c r="B42">
        <v>111.97</v>
      </c>
    </row>
    <row r="43" spans="1:8" x14ac:dyDescent="0.3">
      <c r="A43">
        <v>2022</v>
      </c>
      <c r="B43">
        <v>124.5</v>
      </c>
    </row>
    <row r="44" spans="1:8" x14ac:dyDescent="0.3">
      <c r="A44">
        <v>2023</v>
      </c>
      <c r="B44">
        <v>125.91</v>
      </c>
    </row>
    <row r="45" spans="1:8" x14ac:dyDescent="0.3">
      <c r="A45">
        <v>2024</v>
      </c>
      <c r="B45">
        <v>130.41999999999999</v>
      </c>
    </row>
    <row r="46" spans="1:8" x14ac:dyDescent="0.3">
      <c r="A46" s="53" t="s">
        <v>100</v>
      </c>
      <c r="G46" t="s">
        <v>1666</v>
      </c>
    </row>
    <row r="48" spans="1:8" x14ac:dyDescent="0.3">
      <c r="A48">
        <v>2024</v>
      </c>
      <c r="B48">
        <v>6</v>
      </c>
      <c r="C48">
        <v>3</v>
      </c>
    </row>
  </sheetData>
  <sheetProtection algorithmName="SHA-512" hashValue="olJBVq/8TWnQZQ0BjX8Jg6dllaRCDQHCC12KurVtuwXHA7wEOQaJk99LSwK+gFgmtZc/Vz+LraYQlAtvD/Fo/A==" saltValue="pfIRO++RsbGZQmsM7BLv7A==" spinCount="100000" sheet="1" objects="1" scenarios="1"/>
  <sortState xmlns:xlrd2="http://schemas.microsoft.com/office/spreadsheetml/2017/richdata2" ref="P14:P20">
    <sortCondition ref="P14:P20"/>
  </sortState>
  <mergeCells count="1">
    <mergeCell ref="A3:E5"/>
  </mergeCells>
  <hyperlinks>
    <hyperlink ref="H12" r:id="rId1" display="https://stat.nbb.be/Index.aspx?DataSetCode=IROLOBE2" xr:uid="{2F9DDA97-A541-4D75-97BF-EE88B6496D7D}"/>
    <hyperlink ref="H37" r:id="rId2" display="https://bestat.statbel.fgov.be/bestat/crosstable.xhtml?view=ea07572b-7fc4-40f7-af62-d20b70941e86" xr:uid="{C2723DB5-7CED-4ED5-9A49-32D5C4BDA812}"/>
    <hyperlink ref="H27" r:id="rId3" location=":~:text=Wat%20is%20het%20infrastructuurforfait%3F,december%202023)%2C%20per%20woongelegenheid." display="https://www.zorg-en-gezondheid.be/procedures/infrastructuurforfait - :~:text=Wat%20is%20het%20infrastructuurforfait%3F,december%202023)%2C%20per%20woongelegenheid." xr:uid="{D986F35D-A6B4-43E9-8DE8-6424A6665451}"/>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D72F9-62CF-4CF6-B5FB-29352D6FB629}">
  <sheetPr codeName="Blad6">
    <tabColor rgb="FFFF0000"/>
  </sheetPr>
  <dimension ref="A1:H1060"/>
  <sheetViews>
    <sheetView workbookViewId="0">
      <selection activeCell="D1022" sqref="D1022:D1060"/>
    </sheetView>
  </sheetViews>
  <sheetFormatPr defaultRowHeight="14.4" x14ac:dyDescent="0.3"/>
  <cols>
    <col min="1" max="1" width="53.33203125" bestFit="1" customWidth="1"/>
    <col min="2" max="2" width="10.109375" bestFit="1" customWidth="1"/>
  </cols>
  <sheetData>
    <row r="1" spans="1:8" x14ac:dyDescent="0.3">
      <c r="A1" s="104" t="s">
        <v>101</v>
      </c>
    </row>
    <row r="2" spans="1:8" x14ac:dyDescent="0.3">
      <c r="A2" s="619" t="s">
        <v>102</v>
      </c>
      <c r="B2" s="620"/>
      <c r="C2" s="621"/>
      <c r="D2" s="622" t="s">
        <v>103</v>
      </c>
      <c r="E2" s="623"/>
      <c r="H2" s="85" t="s">
        <v>74</v>
      </c>
    </row>
    <row r="3" spans="1:8" x14ac:dyDescent="0.3">
      <c r="A3" s="105" t="s">
        <v>104</v>
      </c>
      <c r="B3" s="105" t="s">
        <v>105</v>
      </c>
      <c r="C3" s="106" t="s">
        <v>106</v>
      </c>
      <c r="D3" s="624" t="s">
        <v>106</v>
      </c>
      <c r="E3" s="625"/>
    </row>
    <row r="4" spans="1:8" ht="15" x14ac:dyDescent="0.3">
      <c r="A4" s="626" t="s">
        <v>107</v>
      </c>
      <c r="B4" s="107" t="s">
        <v>108</v>
      </c>
      <c r="C4" s="106" t="s">
        <v>106</v>
      </c>
      <c r="D4" s="108" t="s">
        <v>106</v>
      </c>
      <c r="E4" s="109">
        <v>0.09</v>
      </c>
    </row>
    <row r="5" spans="1:8" ht="15" x14ac:dyDescent="0.3">
      <c r="A5" s="627"/>
      <c r="B5" s="107" t="s">
        <v>109</v>
      </c>
      <c r="C5" s="106" t="s">
        <v>106</v>
      </c>
      <c r="D5" s="110" t="s">
        <v>106</v>
      </c>
      <c r="E5" s="111">
        <v>-0.01</v>
      </c>
    </row>
    <row r="6" spans="1:8" ht="15" x14ac:dyDescent="0.3">
      <c r="A6" s="627"/>
      <c r="B6" s="107" t="s">
        <v>110</v>
      </c>
      <c r="C6" s="106" t="s">
        <v>106</v>
      </c>
      <c r="D6" s="108" t="s">
        <v>106</v>
      </c>
      <c r="E6" s="109">
        <v>-0.01</v>
      </c>
    </row>
    <row r="7" spans="1:8" ht="15" x14ac:dyDescent="0.3">
      <c r="A7" s="627"/>
      <c r="B7" s="107" t="s">
        <v>111</v>
      </c>
      <c r="C7" s="106" t="s">
        <v>106</v>
      </c>
      <c r="D7" s="110" t="s">
        <v>106</v>
      </c>
      <c r="E7" s="111">
        <v>0</v>
      </c>
    </row>
    <row r="8" spans="1:8" ht="15" x14ac:dyDescent="0.3">
      <c r="A8" s="627"/>
      <c r="B8" s="107" t="s">
        <v>112</v>
      </c>
      <c r="C8" s="106" t="s">
        <v>106</v>
      </c>
      <c r="D8" s="108" t="s">
        <v>106</v>
      </c>
      <c r="E8" s="109">
        <v>0</v>
      </c>
    </row>
    <row r="9" spans="1:8" ht="15" x14ac:dyDescent="0.3">
      <c r="A9" s="627"/>
      <c r="B9" s="107" t="s">
        <v>113</v>
      </c>
      <c r="C9" s="106" t="s">
        <v>106</v>
      </c>
      <c r="D9" s="110" t="s">
        <v>106</v>
      </c>
      <c r="E9" s="111">
        <v>0.03</v>
      </c>
    </row>
    <row r="10" spans="1:8" ht="15" x14ac:dyDescent="0.3">
      <c r="A10" s="627"/>
      <c r="B10" s="107" t="s">
        <v>114</v>
      </c>
      <c r="C10" s="106" t="s">
        <v>106</v>
      </c>
      <c r="D10" s="108" t="s">
        <v>106</v>
      </c>
      <c r="E10" s="109">
        <v>0.03</v>
      </c>
    </row>
    <row r="11" spans="1:8" ht="15" x14ac:dyDescent="0.3">
      <c r="A11" s="627"/>
      <c r="B11" s="107" t="s">
        <v>115</v>
      </c>
      <c r="C11" s="106" t="s">
        <v>106</v>
      </c>
      <c r="D11" s="110" t="s">
        <v>106</v>
      </c>
      <c r="E11" s="111">
        <v>0.05</v>
      </c>
    </row>
    <row r="12" spans="1:8" ht="15" x14ac:dyDescent="0.3">
      <c r="A12" s="627"/>
      <c r="B12" s="107" t="s">
        <v>116</v>
      </c>
      <c r="C12" s="106" t="s">
        <v>106</v>
      </c>
      <c r="D12" s="108" t="s">
        <v>106</v>
      </c>
      <c r="E12" s="109">
        <v>0.05</v>
      </c>
    </row>
    <row r="13" spans="1:8" ht="15" x14ac:dyDescent="0.3">
      <c r="A13" s="627"/>
      <c r="B13" s="107" t="s">
        <v>117</v>
      </c>
      <c r="C13" s="106" t="s">
        <v>106</v>
      </c>
      <c r="D13" s="110" t="s">
        <v>106</v>
      </c>
      <c r="E13" s="111">
        <v>0.02</v>
      </c>
    </row>
    <row r="14" spans="1:8" ht="15" x14ac:dyDescent="0.3">
      <c r="A14" s="627"/>
      <c r="B14" s="107" t="s">
        <v>118</v>
      </c>
      <c r="C14" s="106" t="s">
        <v>106</v>
      </c>
      <c r="D14" s="108" t="s">
        <v>106</v>
      </c>
      <c r="E14" s="109">
        <v>0.01</v>
      </c>
    </row>
    <row r="15" spans="1:8" ht="15" x14ac:dyDescent="0.3">
      <c r="A15" s="627"/>
      <c r="B15" s="107" t="s">
        <v>119</v>
      </c>
      <c r="C15" s="106" t="s">
        <v>106</v>
      </c>
      <c r="D15" s="110" t="s">
        <v>106</v>
      </c>
      <c r="E15" s="111">
        <v>0.01</v>
      </c>
    </row>
    <row r="16" spans="1:8" ht="15" x14ac:dyDescent="0.3">
      <c r="A16" s="627"/>
      <c r="B16" s="107" t="s">
        <v>120</v>
      </c>
      <c r="C16" s="106" t="s">
        <v>106</v>
      </c>
      <c r="D16" s="108" t="s">
        <v>106</v>
      </c>
      <c r="E16" s="109">
        <v>0.03</v>
      </c>
    </row>
    <row r="17" spans="1:5" ht="15" x14ac:dyDescent="0.3">
      <c r="A17" s="627"/>
      <c r="B17" s="107" t="s">
        <v>121</v>
      </c>
      <c r="C17" s="106" t="s">
        <v>106</v>
      </c>
      <c r="D17" s="110" t="s">
        <v>106</v>
      </c>
      <c r="E17" s="111">
        <v>0.01</v>
      </c>
    </row>
    <row r="18" spans="1:5" ht="15" x14ac:dyDescent="0.3">
      <c r="A18" s="627"/>
      <c r="B18" s="107" t="s">
        <v>122</v>
      </c>
      <c r="C18" s="106" t="s">
        <v>106</v>
      </c>
      <c r="D18" s="108" t="s">
        <v>106</v>
      </c>
      <c r="E18" s="109">
        <v>-0.01</v>
      </c>
    </row>
    <row r="19" spans="1:5" ht="15" x14ac:dyDescent="0.3">
      <c r="A19" s="627"/>
      <c r="B19" s="107" t="s">
        <v>123</v>
      </c>
      <c r="C19" s="106" t="s">
        <v>106</v>
      </c>
      <c r="D19" s="110" t="s">
        <v>106</v>
      </c>
      <c r="E19" s="111">
        <v>-0.05</v>
      </c>
    </row>
    <row r="20" spans="1:5" ht="15" x14ac:dyDescent="0.3">
      <c r="A20" s="627"/>
      <c r="B20" s="107" t="s">
        <v>124</v>
      </c>
      <c r="C20" s="106" t="s">
        <v>106</v>
      </c>
      <c r="D20" s="108" t="s">
        <v>106</v>
      </c>
      <c r="E20" s="109">
        <v>-7.0000000000000007E-2</v>
      </c>
    </row>
    <row r="21" spans="1:5" ht="15" x14ac:dyDescent="0.3">
      <c r="A21" s="627"/>
      <c r="B21" s="107" t="s">
        <v>125</v>
      </c>
      <c r="C21" s="106" t="s">
        <v>106</v>
      </c>
      <c r="D21" s="110" t="s">
        <v>106</v>
      </c>
      <c r="E21" s="111">
        <v>-0.12</v>
      </c>
    </row>
    <row r="22" spans="1:5" ht="15" x14ac:dyDescent="0.3">
      <c r="A22" s="627"/>
      <c r="B22" s="107" t="s">
        <v>126</v>
      </c>
      <c r="C22" s="106" t="s">
        <v>106</v>
      </c>
      <c r="D22" s="108" t="s">
        <v>106</v>
      </c>
      <c r="E22" s="109">
        <v>-0.16</v>
      </c>
    </row>
    <row r="23" spans="1:5" ht="15" x14ac:dyDescent="0.3">
      <c r="A23" s="627"/>
      <c r="B23" s="107" t="s">
        <v>127</v>
      </c>
      <c r="C23" s="106" t="s">
        <v>106</v>
      </c>
      <c r="D23" s="110" t="s">
        <v>106</v>
      </c>
      <c r="E23" s="111">
        <v>-0.14000000000000001</v>
      </c>
    </row>
    <row r="24" spans="1:5" ht="15" x14ac:dyDescent="0.3">
      <c r="A24" s="627"/>
      <c r="B24" s="107" t="s">
        <v>128</v>
      </c>
      <c r="C24" s="106" t="s">
        <v>106</v>
      </c>
      <c r="D24" s="108" t="s">
        <v>106</v>
      </c>
      <c r="E24" s="109">
        <v>-0.16</v>
      </c>
    </row>
    <row r="25" spans="1:5" ht="15" x14ac:dyDescent="0.3">
      <c r="A25" s="627"/>
      <c r="B25" s="107" t="s">
        <v>129</v>
      </c>
      <c r="C25" s="106" t="s">
        <v>106</v>
      </c>
      <c r="D25" s="110" t="s">
        <v>106</v>
      </c>
      <c r="E25" s="111">
        <v>-0.16</v>
      </c>
    </row>
    <row r="26" spans="1:5" ht="15" x14ac:dyDescent="0.3">
      <c r="A26" s="627"/>
      <c r="B26" s="107" t="s">
        <v>130</v>
      </c>
      <c r="C26" s="106" t="s">
        <v>106</v>
      </c>
      <c r="D26" s="108" t="s">
        <v>106</v>
      </c>
      <c r="E26" s="109">
        <v>-0.19</v>
      </c>
    </row>
    <row r="27" spans="1:5" ht="15" x14ac:dyDescent="0.3">
      <c r="A27" s="627"/>
      <c r="B27" s="107" t="s">
        <v>131</v>
      </c>
      <c r="C27" s="106" t="s">
        <v>106</v>
      </c>
      <c r="D27" s="110" t="s">
        <v>106</v>
      </c>
      <c r="E27" s="111">
        <v>-0.16</v>
      </c>
    </row>
    <row r="28" spans="1:5" ht="15" x14ac:dyDescent="0.3">
      <c r="A28" s="627"/>
      <c r="B28" s="107" t="s">
        <v>132</v>
      </c>
      <c r="C28" s="106" t="s">
        <v>106</v>
      </c>
      <c r="D28" s="108" t="s">
        <v>106</v>
      </c>
      <c r="E28" s="109">
        <v>-0.04</v>
      </c>
    </row>
    <row r="29" spans="1:5" ht="15" x14ac:dyDescent="0.3">
      <c r="A29" s="627"/>
      <c r="B29" s="107" t="s">
        <v>133</v>
      </c>
      <c r="C29" s="106" t="s">
        <v>106</v>
      </c>
      <c r="D29" s="110" t="s">
        <v>106</v>
      </c>
      <c r="E29" s="111">
        <v>-0.03</v>
      </c>
    </row>
    <row r="30" spans="1:5" ht="15" x14ac:dyDescent="0.3">
      <c r="A30" s="627"/>
      <c r="B30" s="107" t="s">
        <v>134</v>
      </c>
      <c r="C30" s="106" t="s">
        <v>106</v>
      </c>
      <c r="D30" s="108" t="s">
        <v>106</v>
      </c>
      <c r="E30" s="109">
        <v>-7.0000000000000007E-2</v>
      </c>
    </row>
    <row r="31" spans="1:5" ht="15" x14ac:dyDescent="0.3">
      <c r="A31" s="627"/>
      <c r="B31" s="107" t="s">
        <v>135</v>
      </c>
      <c r="C31" s="106" t="s">
        <v>106</v>
      </c>
      <c r="D31" s="110" t="s">
        <v>106</v>
      </c>
      <c r="E31" s="111">
        <v>-0.08</v>
      </c>
    </row>
    <row r="32" spans="1:5" ht="15" x14ac:dyDescent="0.3">
      <c r="A32" s="627"/>
      <c r="B32" s="107" t="s">
        <v>136</v>
      </c>
      <c r="C32" s="106" t="s">
        <v>106</v>
      </c>
      <c r="D32" s="108" t="s">
        <v>106</v>
      </c>
      <c r="E32" s="109">
        <v>-0.08</v>
      </c>
    </row>
    <row r="33" spans="1:5" ht="15" x14ac:dyDescent="0.3">
      <c r="A33" s="627"/>
      <c r="B33" s="107" t="s">
        <v>137</v>
      </c>
      <c r="C33" s="106" t="s">
        <v>106</v>
      </c>
      <c r="D33" s="110" t="s">
        <v>106</v>
      </c>
      <c r="E33" s="111">
        <v>-0.06</v>
      </c>
    </row>
    <row r="34" spans="1:5" ht="15" x14ac:dyDescent="0.3">
      <c r="A34" s="627"/>
      <c r="B34" s="107" t="s">
        <v>138</v>
      </c>
      <c r="C34" s="106" t="s">
        <v>106</v>
      </c>
      <c r="D34" s="108" t="s">
        <v>106</v>
      </c>
      <c r="E34" s="109">
        <v>-0.11</v>
      </c>
    </row>
    <row r="35" spans="1:5" ht="15" x14ac:dyDescent="0.3">
      <c r="A35" s="627"/>
      <c r="B35" s="107" t="s">
        <v>139</v>
      </c>
      <c r="C35" s="106" t="s">
        <v>106</v>
      </c>
      <c r="D35" s="110" t="s">
        <v>106</v>
      </c>
      <c r="E35" s="111">
        <v>-0.1</v>
      </c>
    </row>
    <row r="36" spans="1:5" ht="15" x14ac:dyDescent="0.3">
      <c r="A36" s="627"/>
      <c r="B36" s="107" t="s">
        <v>140</v>
      </c>
      <c r="C36" s="106" t="s">
        <v>106</v>
      </c>
      <c r="D36" s="108" t="s">
        <v>106</v>
      </c>
      <c r="E36" s="109">
        <v>-0.11</v>
      </c>
    </row>
    <row r="37" spans="1:5" ht="15" x14ac:dyDescent="0.3">
      <c r="A37" s="627"/>
      <c r="B37" s="107" t="s">
        <v>141</v>
      </c>
      <c r="C37" s="106" t="s">
        <v>106</v>
      </c>
      <c r="D37" s="110" t="s">
        <v>106</v>
      </c>
      <c r="E37" s="111">
        <v>-0.12</v>
      </c>
    </row>
    <row r="38" spans="1:5" ht="15" x14ac:dyDescent="0.3">
      <c r="A38" s="627"/>
      <c r="B38" s="107" t="s">
        <v>142</v>
      </c>
      <c r="C38" s="106" t="s">
        <v>106</v>
      </c>
      <c r="D38" s="108" t="s">
        <v>106</v>
      </c>
      <c r="E38" s="109">
        <v>-0.12</v>
      </c>
    </row>
    <row r="39" spans="1:5" ht="15" x14ac:dyDescent="0.3">
      <c r="A39" s="627"/>
      <c r="B39" s="107" t="s">
        <v>143</v>
      </c>
      <c r="C39" s="106" t="s">
        <v>106</v>
      </c>
      <c r="D39" s="110" t="s">
        <v>106</v>
      </c>
      <c r="E39" s="111">
        <v>-0.12</v>
      </c>
    </row>
    <row r="40" spans="1:5" ht="15" x14ac:dyDescent="0.3">
      <c r="A40" s="627"/>
      <c r="B40" s="107" t="s">
        <v>144</v>
      </c>
      <c r="C40" s="106" t="s">
        <v>106</v>
      </c>
      <c r="D40" s="108" t="s">
        <v>106</v>
      </c>
      <c r="E40" s="109">
        <v>-0.16</v>
      </c>
    </row>
    <row r="41" spans="1:5" ht="15" x14ac:dyDescent="0.3">
      <c r="A41" s="627"/>
      <c r="B41" s="107" t="s">
        <v>145</v>
      </c>
      <c r="C41" s="106" t="s">
        <v>106</v>
      </c>
      <c r="D41" s="110" t="s">
        <v>106</v>
      </c>
      <c r="E41" s="111">
        <v>-0.19</v>
      </c>
    </row>
    <row r="42" spans="1:5" ht="15" x14ac:dyDescent="0.3">
      <c r="A42" s="627"/>
      <c r="B42" s="107" t="s">
        <v>146</v>
      </c>
      <c r="C42" s="106" t="s">
        <v>106</v>
      </c>
      <c r="D42" s="108" t="s">
        <v>106</v>
      </c>
      <c r="E42" s="109">
        <v>-0.18</v>
      </c>
    </row>
    <row r="43" spans="1:5" ht="15" x14ac:dyDescent="0.3">
      <c r="A43" s="627"/>
      <c r="B43" s="107" t="s">
        <v>147</v>
      </c>
      <c r="C43" s="106" t="s">
        <v>106</v>
      </c>
      <c r="D43" s="110" t="s">
        <v>106</v>
      </c>
      <c r="E43" s="111">
        <v>-0.18</v>
      </c>
    </row>
    <row r="44" spans="1:5" ht="15" x14ac:dyDescent="0.3">
      <c r="A44" s="627"/>
      <c r="B44" s="107" t="s">
        <v>148</v>
      </c>
      <c r="C44" s="106" t="s">
        <v>106</v>
      </c>
      <c r="D44" s="108" t="s">
        <v>106</v>
      </c>
      <c r="E44" s="109">
        <v>-0.18</v>
      </c>
    </row>
    <row r="45" spans="1:5" ht="15" x14ac:dyDescent="0.3">
      <c r="A45" s="627"/>
      <c r="B45" s="107" t="s">
        <v>149</v>
      </c>
      <c r="C45" s="106" t="s">
        <v>106</v>
      </c>
      <c r="D45" s="110" t="s">
        <v>106</v>
      </c>
      <c r="E45" s="111">
        <v>-0.25</v>
      </c>
    </row>
    <row r="46" spans="1:5" ht="15" x14ac:dyDescent="0.3">
      <c r="A46" s="627"/>
      <c r="B46" s="107" t="s">
        <v>150</v>
      </c>
      <c r="C46" s="106" t="s">
        <v>106</v>
      </c>
      <c r="D46" s="108" t="s">
        <v>106</v>
      </c>
      <c r="E46" s="109">
        <v>-0.25</v>
      </c>
    </row>
    <row r="47" spans="1:5" ht="15" x14ac:dyDescent="0.3">
      <c r="A47" s="627"/>
      <c r="B47" s="107" t="s">
        <v>151</v>
      </c>
      <c r="C47" s="106" t="s">
        <v>106</v>
      </c>
      <c r="D47" s="110" t="s">
        <v>106</v>
      </c>
      <c r="E47" s="111">
        <v>-0.2</v>
      </c>
    </row>
    <row r="48" spans="1:5" ht="15" x14ac:dyDescent="0.3">
      <c r="A48" s="627"/>
      <c r="B48" s="107" t="s">
        <v>152</v>
      </c>
      <c r="C48" s="106" t="s">
        <v>106</v>
      </c>
      <c r="D48" s="108" t="s">
        <v>106</v>
      </c>
      <c r="E48" s="109">
        <v>-0.27</v>
      </c>
    </row>
    <row r="49" spans="1:5" ht="15" x14ac:dyDescent="0.3">
      <c r="A49" s="627"/>
      <c r="B49" s="107" t="s">
        <v>153</v>
      </c>
      <c r="C49" s="106" t="s">
        <v>106</v>
      </c>
      <c r="D49" s="110" t="s">
        <v>106</v>
      </c>
      <c r="E49" s="111">
        <v>-0.25</v>
      </c>
    </row>
    <row r="50" spans="1:5" ht="15" x14ac:dyDescent="0.3">
      <c r="A50" s="627"/>
      <c r="B50" s="107" t="s">
        <v>154</v>
      </c>
      <c r="C50" s="106" t="s">
        <v>106</v>
      </c>
      <c r="D50" s="108" t="s">
        <v>106</v>
      </c>
      <c r="E50" s="109">
        <v>-0.27</v>
      </c>
    </row>
    <row r="51" spans="1:5" ht="15" x14ac:dyDescent="0.3">
      <c r="A51" s="627"/>
      <c r="B51" s="107" t="s">
        <v>155</v>
      </c>
      <c r="C51" s="106" t="s">
        <v>106</v>
      </c>
      <c r="D51" s="110" t="s">
        <v>106</v>
      </c>
      <c r="E51" s="111">
        <v>-0.33</v>
      </c>
    </row>
    <row r="52" spans="1:5" ht="15" x14ac:dyDescent="0.3">
      <c r="A52" s="627"/>
      <c r="B52" s="107" t="s">
        <v>156</v>
      </c>
      <c r="C52" s="106" t="s">
        <v>106</v>
      </c>
      <c r="D52" s="108" t="s">
        <v>106</v>
      </c>
      <c r="E52" s="109">
        <v>-0.24</v>
      </c>
    </row>
    <row r="53" spans="1:5" ht="15" x14ac:dyDescent="0.3">
      <c r="A53" s="627"/>
      <c r="B53" s="107" t="s">
        <v>157</v>
      </c>
      <c r="C53" s="106" t="s">
        <v>106</v>
      </c>
      <c r="D53" s="110" t="s">
        <v>106</v>
      </c>
      <c r="E53" s="111">
        <v>-0.21</v>
      </c>
    </row>
    <row r="54" spans="1:5" ht="15" x14ac:dyDescent="0.3">
      <c r="A54" s="627"/>
      <c r="B54" s="107" t="s">
        <v>158</v>
      </c>
      <c r="C54" s="106" t="s">
        <v>106</v>
      </c>
      <c r="D54" s="108" t="s">
        <v>106</v>
      </c>
      <c r="E54" s="109">
        <v>-0.27</v>
      </c>
    </row>
    <row r="55" spans="1:5" ht="15" x14ac:dyDescent="0.3">
      <c r="A55" s="627"/>
      <c r="B55" s="107" t="s">
        <v>159</v>
      </c>
      <c r="C55" s="106" t="s">
        <v>106</v>
      </c>
      <c r="D55" s="110" t="s">
        <v>106</v>
      </c>
      <c r="E55" s="111">
        <v>0.01</v>
      </c>
    </row>
    <row r="56" spans="1:5" ht="15" x14ac:dyDescent="0.3">
      <c r="A56" s="627"/>
      <c r="B56" s="107" t="s">
        <v>160</v>
      </c>
      <c r="C56" s="106" t="s">
        <v>106</v>
      </c>
      <c r="D56" s="108" t="s">
        <v>106</v>
      </c>
      <c r="E56" s="109">
        <v>0.11</v>
      </c>
    </row>
    <row r="57" spans="1:5" ht="15" x14ac:dyDescent="0.3">
      <c r="A57" s="627"/>
      <c r="B57" s="107" t="s">
        <v>161</v>
      </c>
      <c r="C57" s="106" t="s">
        <v>106</v>
      </c>
      <c r="D57" s="110" t="s">
        <v>106</v>
      </c>
      <c r="E57" s="111">
        <v>0.34</v>
      </c>
    </row>
    <row r="58" spans="1:5" ht="15" x14ac:dyDescent="0.3">
      <c r="A58" s="627"/>
      <c r="B58" s="107" t="s">
        <v>162</v>
      </c>
      <c r="C58" s="106" t="s">
        <v>106</v>
      </c>
      <c r="D58" s="108" t="s">
        <v>106</v>
      </c>
      <c r="E58" s="109">
        <v>0.54</v>
      </c>
    </row>
    <row r="59" spans="1:5" ht="15" x14ac:dyDescent="0.3">
      <c r="A59" s="627"/>
      <c r="B59" s="107" t="s">
        <v>163</v>
      </c>
      <c r="C59" s="106" t="s">
        <v>106</v>
      </c>
      <c r="D59" s="110" t="s">
        <v>106</v>
      </c>
      <c r="E59" s="111">
        <v>0.19</v>
      </c>
    </row>
    <row r="60" spans="1:5" ht="15" x14ac:dyDescent="0.3">
      <c r="A60" s="627"/>
      <c r="B60" s="107" t="s">
        <v>164</v>
      </c>
      <c r="C60" s="106" t="s">
        <v>106</v>
      </c>
      <c r="D60" s="108" t="s">
        <v>106</v>
      </c>
      <c r="E60" s="109">
        <v>0.2</v>
      </c>
    </row>
    <row r="61" spans="1:5" ht="15" x14ac:dyDescent="0.3">
      <c r="A61" s="627"/>
      <c r="B61" s="107" t="s">
        <v>165</v>
      </c>
      <c r="C61" s="106" t="s">
        <v>106</v>
      </c>
      <c r="D61" s="110" t="s">
        <v>106</v>
      </c>
      <c r="E61" s="111">
        <v>0.14000000000000001</v>
      </c>
    </row>
    <row r="62" spans="1:5" ht="15" x14ac:dyDescent="0.3">
      <c r="A62" s="627"/>
      <c r="B62" s="107" t="s">
        <v>166</v>
      </c>
      <c r="C62" s="106" t="s">
        <v>106</v>
      </c>
      <c r="D62" s="108" t="s">
        <v>106</v>
      </c>
      <c r="E62" s="109">
        <v>0.18</v>
      </c>
    </row>
    <row r="63" spans="1:5" ht="15" x14ac:dyDescent="0.3">
      <c r="A63" s="627"/>
      <c r="B63" s="107" t="s">
        <v>167</v>
      </c>
      <c r="C63" s="106" t="s">
        <v>106</v>
      </c>
      <c r="D63" s="110" t="s">
        <v>106</v>
      </c>
      <c r="E63" s="111">
        <v>0.25</v>
      </c>
    </row>
    <row r="64" spans="1:5" ht="15" x14ac:dyDescent="0.3">
      <c r="A64" s="627"/>
      <c r="B64" s="107" t="s">
        <v>168</v>
      </c>
      <c r="C64" s="106" t="s">
        <v>106</v>
      </c>
      <c r="D64" s="108" t="s">
        <v>106</v>
      </c>
      <c r="E64" s="109">
        <v>0.21</v>
      </c>
    </row>
    <row r="65" spans="1:5" ht="15" x14ac:dyDescent="0.3">
      <c r="A65" s="627"/>
      <c r="B65" s="107" t="s">
        <v>169</v>
      </c>
      <c r="C65" s="106" t="s">
        <v>106</v>
      </c>
      <c r="D65" s="110" t="s">
        <v>106</v>
      </c>
      <c r="E65" s="111">
        <v>0</v>
      </c>
    </row>
    <row r="66" spans="1:5" ht="15" x14ac:dyDescent="0.3">
      <c r="A66" s="627"/>
      <c r="B66" s="107" t="s">
        <v>170</v>
      </c>
      <c r="C66" s="106" t="s">
        <v>106</v>
      </c>
      <c r="D66" s="108" t="s">
        <v>106</v>
      </c>
      <c r="E66" s="109">
        <v>-0.28999999999999998</v>
      </c>
    </row>
    <row r="67" spans="1:5" ht="15" x14ac:dyDescent="0.3">
      <c r="A67" s="627"/>
      <c r="B67" s="107" t="s">
        <v>171</v>
      </c>
      <c r="C67" s="106" t="s">
        <v>106</v>
      </c>
      <c r="D67" s="110" t="s">
        <v>106</v>
      </c>
      <c r="E67" s="111">
        <v>0.02</v>
      </c>
    </row>
    <row r="68" spans="1:5" ht="15" x14ac:dyDescent="0.3">
      <c r="A68" s="627"/>
      <c r="B68" s="107" t="s">
        <v>172</v>
      </c>
      <c r="C68" s="106" t="s">
        <v>106</v>
      </c>
      <c r="D68" s="108" t="s">
        <v>106</v>
      </c>
      <c r="E68" s="109">
        <v>0.05</v>
      </c>
    </row>
    <row r="69" spans="1:5" ht="15" x14ac:dyDescent="0.3">
      <c r="A69" s="627"/>
      <c r="B69" s="107" t="s">
        <v>173</v>
      </c>
      <c r="C69" s="106" t="s">
        <v>106</v>
      </c>
      <c r="D69" s="110" t="s">
        <v>106</v>
      </c>
      <c r="E69" s="111">
        <v>0.13</v>
      </c>
    </row>
    <row r="70" spans="1:5" ht="15" x14ac:dyDescent="0.3">
      <c r="A70" s="627"/>
      <c r="B70" s="107" t="s">
        <v>174</v>
      </c>
      <c r="C70" s="106" t="s">
        <v>106</v>
      </c>
      <c r="D70" s="108" t="s">
        <v>106</v>
      </c>
      <c r="E70" s="109">
        <v>0.1</v>
      </c>
    </row>
    <row r="71" spans="1:5" ht="15" x14ac:dyDescent="0.3">
      <c r="A71" s="627"/>
      <c r="B71" s="107" t="s">
        <v>175</v>
      </c>
      <c r="C71" s="106" t="s">
        <v>106</v>
      </c>
      <c r="D71" s="110" t="s">
        <v>106</v>
      </c>
      <c r="E71" s="111">
        <v>0.14000000000000001</v>
      </c>
    </row>
    <row r="72" spans="1:5" ht="15" x14ac:dyDescent="0.3">
      <c r="A72" s="627"/>
      <c r="B72" s="107" t="s">
        <v>176</v>
      </c>
      <c r="C72" s="106" t="s">
        <v>106</v>
      </c>
      <c r="D72" s="108" t="s">
        <v>106</v>
      </c>
      <c r="E72" s="109">
        <v>0.18</v>
      </c>
    </row>
    <row r="73" spans="1:5" ht="15" x14ac:dyDescent="0.3">
      <c r="A73" s="627"/>
      <c r="B73" s="107" t="s">
        <v>177</v>
      </c>
      <c r="C73" s="106" t="s">
        <v>106</v>
      </c>
      <c r="D73" s="110" t="s">
        <v>106</v>
      </c>
      <c r="E73" s="111">
        <v>0.22</v>
      </c>
    </row>
    <row r="74" spans="1:5" ht="15" x14ac:dyDescent="0.3">
      <c r="A74" s="627"/>
      <c r="B74" s="107" t="s">
        <v>178</v>
      </c>
      <c r="C74" s="106" t="s">
        <v>106</v>
      </c>
      <c r="D74" s="108" t="s">
        <v>106</v>
      </c>
      <c r="E74" s="109">
        <v>0.23</v>
      </c>
    </row>
    <row r="75" spans="1:5" ht="15" x14ac:dyDescent="0.3">
      <c r="A75" s="627"/>
      <c r="B75" s="107" t="s">
        <v>179</v>
      </c>
      <c r="C75" s="106" t="s">
        <v>106</v>
      </c>
      <c r="D75" s="110" t="s">
        <v>106</v>
      </c>
      <c r="E75" s="111">
        <v>0.2</v>
      </c>
    </row>
    <row r="76" spans="1:5" ht="15" x14ac:dyDescent="0.3">
      <c r="A76" s="627"/>
      <c r="B76" s="107" t="s">
        <v>180</v>
      </c>
      <c r="C76" s="106" t="s">
        <v>106</v>
      </c>
      <c r="D76" s="108" t="s">
        <v>106</v>
      </c>
      <c r="E76" s="109">
        <v>0.16</v>
      </c>
    </row>
    <row r="77" spans="1:5" ht="15" x14ac:dyDescent="0.3">
      <c r="A77" s="627"/>
      <c r="B77" s="107" t="s">
        <v>181</v>
      </c>
      <c r="C77" s="106" t="s">
        <v>106</v>
      </c>
      <c r="D77" s="110" t="s">
        <v>106</v>
      </c>
      <c r="E77" s="111">
        <v>0.14000000000000001</v>
      </c>
    </row>
    <row r="78" spans="1:5" ht="15" x14ac:dyDescent="0.3">
      <c r="A78" s="627"/>
      <c r="B78" s="107" t="s">
        <v>182</v>
      </c>
      <c r="C78" s="106" t="s">
        <v>106</v>
      </c>
      <c r="D78" s="108" t="s">
        <v>106</v>
      </c>
      <c r="E78" s="109">
        <v>0.11</v>
      </c>
    </row>
    <row r="79" spans="1:5" ht="15" x14ac:dyDescent="0.3">
      <c r="A79" s="627"/>
      <c r="B79" s="107" t="s">
        <v>183</v>
      </c>
      <c r="C79" s="106" t="s">
        <v>106</v>
      </c>
      <c r="D79" s="110" t="s">
        <v>106</v>
      </c>
      <c r="E79" s="111">
        <v>0.12</v>
      </c>
    </row>
    <row r="80" spans="1:5" ht="15" x14ac:dyDescent="0.3">
      <c r="A80" s="627"/>
      <c r="B80" s="107" t="s">
        <v>184</v>
      </c>
      <c r="C80" s="106" t="s">
        <v>106</v>
      </c>
      <c r="D80" s="108" t="s">
        <v>106</v>
      </c>
      <c r="E80" s="109">
        <v>0.14000000000000001</v>
      </c>
    </row>
    <row r="81" spans="1:5" ht="15" x14ac:dyDescent="0.3">
      <c r="A81" s="627"/>
      <c r="B81" s="107" t="s">
        <v>185</v>
      </c>
      <c r="C81" s="106" t="s">
        <v>106</v>
      </c>
      <c r="D81" s="110" t="s">
        <v>106</v>
      </c>
      <c r="E81" s="111">
        <v>0.19</v>
      </c>
    </row>
    <row r="82" spans="1:5" ht="15" x14ac:dyDescent="0.3">
      <c r="A82" s="627"/>
      <c r="B82" s="107" t="s">
        <v>186</v>
      </c>
      <c r="C82" s="106" t="s">
        <v>106</v>
      </c>
      <c r="D82" s="108" t="s">
        <v>106</v>
      </c>
      <c r="E82" s="109">
        <v>0.2</v>
      </c>
    </row>
    <row r="83" spans="1:5" ht="15" x14ac:dyDescent="0.3">
      <c r="A83" s="627"/>
      <c r="B83" s="107" t="s">
        <v>187</v>
      </c>
      <c r="C83" s="106" t="s">
        <v>106</v>
      </c>
      <c r="D83" s="110" t="s">
        <v>106</v>
      </c>
      <c r="E83" s="111">
        <v>0.18</v>
      </c>
    </row>
    <row r="84" spans="1:5" ht="15" x14ac:dyDescent="0.3">
      <c r="A84" s="627"/>
      <c r="B84" s="107" t="s">
        <v>188</v>
      </c>
      <c r="C84" s="106" t="s">
        <v>106</v>
      </c>
      <c r="D84" s="108" t="s">
        <v>106</v>
      </c>
      <c r="E84" s="109">
        <v>0.12</v>
      </c>
    </row>
    <row r="85" spans="1:5" ht="15" x14ac:dyDescent="0.3">
      <c r="A85" s="627"/>
      <c r="B85" s="107" t="s">
        <v>189</v>
      </c>
      <c r="C85" s="106" t="s">
        <v>106</v>
      </c>
      <c r="D85" s="110" t="s">
        <v>106</v>
      </c>
      <c r="E85" s="111">
        <v>0.12</v>
      </c>
    </row>
    <row r="86" spans="1:5" ht="15" x14ac:dyDescent="0.3">
      <c r="A86" s="627"/>
      <c r="B86" s="107" t="s">
        <v>190</v>
      </c>
      <c r="C86" s="106" t="s">
        <v>106</v>
      </c>
      <c r="D86" s="108" t="s">
        <v>106</v>
      </c>
      <c r="E86" s="109">
        <v>7.0000000000000007E-2</v>
      </c>
    </row>
    <row r="87" spans="1:5" ht="15" x14ac:dyDescent="0.3">
      <c r="A87" s="627"/>
      <c r="B87" s="107" t="s">
        <v>191</v>
      </c>
      <c r="C87" s="106" t="s">
        <v>106</v>
      </c>
      <c r="D87" s="110" t="s">
        <v>106</v>
      </c>
      <c r="E87" s="111">
        <v>0.04</v>
      </c>
    </row>
    <row r="88" spans="1:5" ht="15" x14ac:dyDescent="0.3">
      <c r="A88" s="627"/>
      <c r="B88" s="107" t="s">
        <v>192</v>
      </c>
      <c r="C88" s="106" t="s">
        <v>106</v>
      </c>
      <c r="D88" s="108" t="s">
        <v>106</v>
      </c>
      <c r="E88" s="109">
        <v>0</v>
      </c>
    </row>
    <row r="89" spans="1:5" ht="15" x14ac:dyDescent="0.3">
      <c r="A89" s="627"/>
      <c r="B89" s="107" t="s">
        <v>193</v>
      </c>
      <c r="C89" s="106" t="s">
        <v>106</v>
      </c>
      <c r="D89" s="110" t="s">
        <v>106</v>
      </c>
      <c r="E89" s="111">
        <v>0.04</v>
      </c>
    </row>
    <row r="90" spans="1:5" ht="15" x14ac:dyDescent="0.3">
      <c r="A90" s="627"/>
      <c r="B90" s="107" t="s">
        <v>194</v>
      </c>
      <c r="C90" s="106" t="s">
        <v>106</v>
      </c>
      <c r="D90" s="108" t="s">
        <v>106</v>
      </c>
      <c r="E90" s="109">
        <v>0.03</v>
      </c>
    </row>
    <row r="91" spans="1:5" ht="15" x14ac:dyDescent="0.3">
      <c r="A91" s="627"/>
      <c r="B91" s="107" t="s">
        <v>195</v>
      </c>
      <c r="C91" s="106" t="s">
        <v>106</v>
      </c>
      <c r="D91" s="110" t="s">
        <v>106</v>
      </c>
      <c r="E91" s="111">
        <v>0.09</v>
      </c>
    </row>
    <row r="92" spans="1:5" ht="15" x14ac:dyDescent="0.3">
      <c r="A92" s="627"/>
      <c r="B92" s="107" t="s">
        <v>196</v>
      </c>
      <c r="C92" s="106" t="s">
        <v>106</v>
      </c>
      <c r="D92" s="108" t="s">
        <v>106</v>
      </c>
      <c r="E92" s="109">
        <v>0.02</v>
      </c>
    </row>
    <row r="93" spans="1:5" ht="15" x14ac:dyDescent="0.3">
      <c r="A93" s="627"/>
      <c r="B93" s="107" t="s">
        <v>197</v>
      </c>
      <c r="C93" s="106" t="s">
        <v>106</v>
      </c>
      <c r="D93" s="110" t="s">
        <v>106</v>
      </c>
      <c r="E93" s="111">
        <v>0.06</v>
      </c>
    </row>
    <row r="94" spans="1:5" ht="15" x14ac:dyDescent="0.3">
      <c r="A94" s="627"/>
      <c r="B94" s="107" t="s">
        <v>198</v>
      </c>
      <c r="C94" s="106" t="s">
        <v>106</v>
      </c>
      <c r="D94" s="108" t="s">
        <v>106</v>
      </c>
      <c r="E94" s="109">
        <v>0.06</v>
      </c>
    </row>
    <row r="95" spans="1:5" ht="15" x14ac:dyDescent="0.3">
      <c r="A95" s="627"/>
      <c r="B95" s="107" t="s">
        <v>199</v>
      </c>
      <c r="C95" s="106" t="s">
        <v>106</v>
      </c>
      <c r="D95" s="110" t="s">
        <v>106</v>
      </c>
      <c r="E95" s="111">
        <v>0.04</v>
      </c>
    </row>
    <row r="96" spans="1:5" ht="15" x14ac:dyDescent="0.3">
      <c r="A96" s="627"/>
      <c r="B96" s="107" t="s">
        <v>200</v>
      </c>
      <c r="C96" s="106" t="s">
        <v>106</v>
      </c>
      <c r="D96" s="108" t="s">
        <v>106</v>
      </c>
      <c r="E96" s="109">
        <v>0.02</v>
      </c>
    </row>
    <row r="97" spans="1:5" ht="15" x14ac:dyDescent="0.3">
      <c r="A97" s="627"/>
      <c r="B97" s="107" t="s">
        <v>201</v>
      </c>
      <c r="C97" s="106" t="s">
        <v>106</v>
      </c>
      <c r="D97" s="110" t="s">
        <v>106</v>
      </c>
      <c r="E97" s="111">
        <v>0.03</v>
      </c>
    </row>
    <row r="98" spans="1:5" ht="15" x14ac:dyDescent="0.3">
      <c r="A98" s="627"/>
      <c r="B98" s="107" t="s">
        <v>202</v>
      </c>
      <c r="C98" s="106" t="s">
        <v>106</v>
      </c>
      <c r="D98" s="108" t="s">
        <v>106</v>
      </c>
      <c r="E98" s="109">
        <v>0.03</v>
      </c>
    </row>
    <row r="99" spans="1:5" ht="15" x14ac:dyDescent="0.3">
      <c r="A99" s="627"/>
      <c r="B99" s="107" t="s">
        <v>203</v>
      </c>
      <c r="C99" s="106" t="s">
        <v>106</v>
      </c>
      <c r="D99" s="110" t="s">
        <v>106</v>
      </c>
      <c r="E99" s="111">
        <v>0.05</v>
      </c>
    </row>
    <row r="100" spans="1:5" ht="15" x14ac:dyDescent="0.3">
      <c r="A100" s="627"/>
      <c r="B100" s="107" t="s">
        <v>204</v>
      </c>
      <c r="C100" s="106" t="s">
        <v>106</v>
      </c>
      <c r="D100" s="108" t="s">
        <v>106</v>
      </c>
      <c r="E100" s="109">
        <v>0.06</v>
      </c>
    </row>
    <row r="101" spans="1:5" ht="15" x14ac:dyDescent="0.3">
      <c r="A101" s="627"/>
      <c r="B101" s="107" t="s">
        <v>205</v>
      </c>
      <c r="C101" s="106" t="s">
        <v>106</v>
      </c>
      <c r="D101" s="110" t="s">
        <v>106</v>
      </c>
      <c r="E101" s="111">
        <v>0.03</v>
      </c>
    </row>
    <row r="102" spans="1:5" ht="15" x14ac:dyDescent="0.3">
      <c r="A102" s="627"/>
      <c r="B102" s="107" t="s">
        <v>206</v>
      </c>
      <c r="C102" s="106" t="s">
        <v>106</v>
      </c>
      <c r="D102" s="108" t="s">
        <v>106</v>
      </c>
      <c r="E102" s="109">
        <v>0.06</v>
      </c>
    </row>
    <row r="103" spans="1:5" ht="15" x14ac:dyDescent="0.3">
      <c r="A103" s="627"/>
      <c r="B103" s="107" t="s">
        <v>207</v>
      </c>
      <c r="C103" s="106" t="s">
        <v>106</v>
      </c>
      <c r="D103" s="110" t="s">
        <v>106</v>
      </c>
      <c r="E103" s="111">
        <v>0.04</v>
      </c>
    </row>
    <row r="104" spans="1:5" ht="15" x14ac:dyDescent="0.3">
      <c r="A104" s="627"/>
      <c r="B104" s="107" t="s">
        <v>208</v>
      </c>
      <c r="C104" s="106" t="s">
        <v>106</v>
      </c>
      <c r="D104" s="108" t="s">
        <v>106</v>
      </c>
      <c r="E104" s="109">
        <v>0.03</v>
      </c>
    </row>
    <row r="105" spans="1:5" ht="15" x14ac:dyDescent="0.3">
      <c r="A105" s="627"/>
      <c r="B105" s="107" t="s">
        <v>209</v>
      </c>
      <c r="C105" s="106" t="s">
        <v>106</v>
      </c>
      <c r="D105" s="110" t="s">
        <v>106</v>
      </c>
      <c r="E105" s="111">
        <v>-0.01</v>
      </c>
    </row>
    <row r="106" spans="1:5" ht="15" x14ac:dyDescent="0.3">
      <c r="A106" s="627"/>
      <c r="B106" s="107" t="s">
        <v>210</v>
      </c>
      <c r="C106" s="106" t="s">
        <v>106</v>
      </c>
      <c r="D106" s="108" t="s">
        <v>106</v>
      </c>
      <c r="E106" s="109">
        <v>0.01</v>
      </c>
    </row>
    <row r="107" spans="1:5" ht="15" x14ac:dyDescent="0.3">
      <c r="A107" s="627"/>
      <c r="B107" s="107" t="s">
        <v>211</v>
      </c>
      <c r="C107" s="106" t="s">
        <v>106</v>
      </c>
      <c r="D107" s="110" t="s">
        <v>106</v>
      </c>
      <c r="E107" s="111">
        <v>0.03</v>
      </c>
    </row>
    <row r="108" spans="1:5" ht="15" x14ac:dyDescent="0.3">
      <c r="A108" s="627"/>
      <c r="B108" s="107" t="s">
        <v>212</v>
      </c>
      <c r="C108" s="106" t="s">
        <v>106</v>
      </c>
      <c r="D108" s="108" t="s">
        <v>106</v>
      </c>
      <c r="E108" s="109">
        <v>7.0000000000000007E-2</v>
      </c>
    </row>
    <row r="109" spans="1:5" ht="15" x14ac:dyDescent="0.3">
      <c r="A109" s="627"/>
      <c r="B109" s="107" t="s">
        <v>213</v>
      </c>
      <c r="C109" s="106" t="s">
        <v>106</v>
      </c>
      <c r="D109" s="110" t="s">
        <v>106</v>
      </c>
      <c r="E109" s="111">
        <v>0.05</v>
      </c>
    </row>
    <row r="110" spans="1:5" ht="15" x14ac:dyDescent="0.3">
      <c r="A110" s="627"/>
      <c r="B110" s="107" t="s">
        <v>214</v>
      </c>
      <c r="C110" s="106" t="s">
        <v>106</v>
      </c>
      <c r="D110" s="108" t="s">
        <v>106</v>
      </c>
      <c r="E110" s="109">
        <v>0.06</v>
      </c>
    </row>
    <row r="111" spans="1:5" ht="15" x14ac:dyDescent="0.3">
      <c r="A111" s="627"/>
      <c r="B111" s="107" t="s">
        <v>215</v>
      </c>
      <c r="C111" s="106" t="s">
        <v>106</v>
      </c>
      <c r="D111" s="110" t="s">
        <v>106</v>
      </c>
      <c r="E111" s="111">
        <v>0.02</v>
      </c>
    </row>
    <row r="112" spans="1:5" ht="15" x14ac:dyDescent="0.3">
      <c r="A112" s="627"/>
      <c r="B112" s="107" t="s">
        <v>216</v>
      </c>
      <c r="C112" s="106" t="s">
        <v>106</v>
      </c>
      <c r="D112" s="108" t="s">
        <v>106</v>
      </c>
      <c r="E112" s="109">
        <v>0.05</v>
      </c>
    </row>
    <row r="113" spans="1:5" ht="15" x14ac:dyDescent="0.3">
      <c r="A113" s="627"/>
      <c r="B113" s="107" t="s">
        <v>217</v>
      </c>
      <c r="C113" s="106" t="s">
        <v>106</v>
      </c>
      <c r="D113" s="110" t="s">
        <v>106</v>
      </c>
      <c r="E113" s="111">
        <v>0.01</v>
      </c>
    </row>
    <row r="114" spans="1:5" ht="15" x14ac:dyDescent="0.3">
      <c r="A114" s="627"/>
      <c r="B114" s="107" t="s">
        <v>218</v>
      </c>
      <c r="C114" s="106" t="s">
        <v>106</v>
      </c>
      <c r="D114" s="108" t="s">
        <v>106</v>
      </c>
      <c r="E114" s="109">
        <v>-0.03</v>
      </c>
    </row>
    <row r="115" spans="1:5" ht="15" x14ac:dyDescent="0.3">
      <c r="A115" s="627"/>
      <c r="B115" s="107" t="s">
        <v>219</v>
      </c>
      <c r="C115" s="106" t="s">
        <v>106</v>
      </c>
      <c r="D115" s="110" t="s">
        <v>106</v>
      </c>
      <c r="E115" s="111">
        <v>-7.0000000000000007E-2</v>
      </c>
    </row>
    <row r="116" spans="1:5" ht="15" x14ac:dyDescent="0.3">
      <c r="A116" s="627"/>
      <c r="B116" s="107" t="s">
        <v>220</v>
      </c>
      <c r="C116" s="106" t="s">
        <v>106</v>
      </c>
      <c r="D116" s="108" t="s">
        <v>106</v>
      </c>
      <c r="E116" s="109">
        <v>-0.05</v>
      </c>
    </row>
    <row r="117" spans="1:5" ht="15" x14ac:dyDescent="0.3">
      <c r="A117" s="627"/>
      <c r="B117" s="107" t="s">
        <v>221</v>
      </c>
      <c r="C117" s="106" t="s">
        <v>106</v>
      </c>
      <c r="D117" s="110" t="s">
        <v>106</v>
      </c>
      <c r="E117" s="111">
        <v>-0.03</v>
      </c>
    </row>
    <row r="118" spans="1:5" ht="15" x14ac:dyDescent="0.3">
      <c r="A118" s="627"/>
      <c r="B118" s="107" t="s">
        <v>222</v>
      </c>
      <c r="C118" s="106" t="s">
        <v>106</v>
      </c>
      <c r="D118" s="108" t="s">
        <v>106</v>
      </c>
      <c r="E118" s="109">
        <v>-0.06</v>
      </c>
    </row>
    <row r="119" spans="1:5" ht="15" x14ac:dyDescent="0.3">
      <c r="A119" s="627"/>
      <c r="B119" s="107" t="s">
        <v>223</v>
      </c>
      <c r="C119" s="106" t="s">
        <v>106</v>
      </c>
      <c r="D119" s="110" t="s">
        <v>106</v>
      </c>
      <c r="E119" s="111">
        <v>-0.08</v>
      </c>
    </row>
    <row r="120" spans="1:5" ht="15" x14ac:dyDescent="0.3">
      <c r="A120" s="627"/>
      <c r="B120" s="107" t="s">
        <v>224</v>
      </c>
      <c r="C120" s="106" t="s">
        <v>106</v>
      </c>
      <c r="D120" s="108" t="s">
        <v>106</v>
      </c>
      <c r="E120" s="109">
        <v>-0.1</v>
      </c>
    </row>
    <row r="121" spans="1:5" ht="15" x14ac:dyDescent="0.3">
      <c r="A121" s="627"/>
      <c r="B121" s="107" t="s">
        <v>225</v>
      </c>
      <c r="C121" s="106" t="s">
        <v>106</v>
      </c>
      <c r="D121" s="110" t="s">
        <v>106</v>
      </c>
      <c r="E121" s="111">
        <v>-0.12</v>
      </c>
    </row>
    <row r="122" spans="1:5" ht="15" x14ac:dyDescent="0.3">
      <c r="A122" s="627"/>
      <c r="B122" s="107" t="s">
        <v>226</v>
      </c>
      <c r="C122" s="106" t="s">
        <v>106</v>
      </c>
      <c r="D122" s="108" t="s">
        <v>106</v>
      </c>
      <c r="E122" s="109">
        <v>-0.11</v>
      </c>
    </row>
    <row r="123" spans="1:5" ht="15" x14ac:dyDescent="0.3">
      <c r="A123" s="627"/>
      <c r="B123" s="107" t="s">
        <v>227</v>
      </c>
      <c r="C123" s="106" t="s">
        <v>106</v>
      </c>
      <c r="D123" s="110" t="s">
        <v>106</v>
      </c>
      <c r="E123" s="111">
        <v>-0.13</v>
      </c>
    </row>
    <row r="124" spans="1:5" ht="15" x14ac:dyDescent="0.3">
      <c r="A124" s="627"/>
      <c r="B124" s="107" t="s">
        <v>228</v>
      </c>
      <c r="C124" s="106" t="s">
        <v>106</v>
      </c>
      <c r="D124" s="108" t="s">
        <v>106</v>
      </c>
      <c r="E124" s="109">
        <v>-0.15</v>
      </c>
    </row>
    <row r="125" spans="1:5" ht="15" x14ac:dyDescent="0.3">
      <c r="A125" s="627"/>
      <c r="B125" s="107" t="s">
        <v>229</v>
      </c>
      <c r="C125" s="106" t="s">
        <v>106</v>
      </c>
      <c r="D125" s="110" t="s">
        <v>106</v>
      </c>
      <c r="E125" s="111">
        <v>-0.14000000000000001</v>
      </c>
    </row>
    <row r="126" spans="1:5" ht="15" x14ac:dyDescent="0.3">
      <c r="A126" s="627"/>
      <c r="B126" s="107" t="s">
        <v>230</v>
      </c>
      <c r="C126" s="106" t="s">
        <v>106</v>
      </c>
      <c r="D126" s="108" t="s">
        <v>106</v>
      </c>
      <c r="E126" s="109">
        <v>-0.15</v>
      </c>
    </row>
    <row r="127" spans="1:5" ht="15" x14ac:dyDescent="0.3">
      <c r="A127" s="627"/>
      <c r="B127" s="107" t="s">
        <v>231</v>
      </c>
      <c r="C127" s="106" t="s">
        <v>106</v>
      </c>
      <c r="D127" s="110" t="s">
        <v>106</v>
      </c>
      <c r="E127" s="111">
        <v>-0.12</v>
      </c>
    </row>
    <row r="128" spans="1:5" ht="15" x14ac:dyDescent="0.3">
      <c r="A128" s="627"/>
      <c r="B128" s="107" t="s">
        <v>232</v>
      </c>
      <c r="C128" s="106" t="s">
        <v>106</v>
      </c>
      <c r="D128" s="108" t="s">
        <v>106</v>
      </c>
      <c r="E128" s="109">
        <v>-0.09</v>
      </c>
    </row>
    <row r="129" spans="1:5" ht="15" x14ac:dyDescent="0.3">
      <c r="A129" s="627"/>
      <c r="B129" s="107" t="s">
        <v>233</v>
      </c>
      <c r="C129" s="106" t="s">
        <v>106</v>
      </c>
      <c r="D129" s="110" t="s">
        <v>106</v>
      </c>
      <c r="E129" s="111">
        <v>-0.14000000000000001</v>
      </c>
    </row>
    <row r="130" spans="1:5" ht="15" x14ac:dyDescent="0.3">
      <c r="A130" s="627"/>
      <c r="B130" s="107" t="s">
        <v>234</v>
      </c>
      <c r="C130" s="106" t="s">
        <v>106</v>
      </c>
      <c r="D130" s="108" t="s">
        <v>106</v>
      </c>
      <c r="E130" s="109">
        <v>-0.13</v>
      </c>
    </row>
    <row r="131" spans="1:5" ht="15" x14ac:dyDescent="0.3">
      <c r="A131" s="627"/>
      <c r="B131" s="107" t="s">
        <v>235</v>
      </c>
      <c r="C131" s="106" t="s">
        <v>106</v>
      </c>
      <c r="D131" s="110" t="s">
        <v>106</v>
      </c>
      <c r="E131" s="111">
        <v>-0.15</v>
      </c>
    </row>
    <row r="132" spans="1:5" ht="15" x14ac:dyDescent="0.3">
      <c r="A132" s="627"/>
      <c r="B132" s="107" t="s">
        <v>236</v>
      </c>
      <c r="C132" s="106" t="s">
        <v>106</v>
      </c>
      <c r="D132" s="108" t="s">
        <v>106</v>
      </c>
      <c r="E132" s="109">
        <v>-0.16</v>
      </c>
    </row>
    <row r="133" spans="1:5" ht="15" x14ac:dyDescent="0.3">
      <c r="A133" s="627"/>
      <c r="B133" s="107" t="s">
        <v>237</v>
      </c>
      <c r="C133" s="106" t="s">
        <v>106</v>
      </c>
      <c r="D133" s="110" t="s">
        <v>106</v>
      </c>
      <c r="E133" s="111">
        <v>-0.14000000000000001</v>
      </c>
    </row>
    <row r="134" spans="1:5" ht="15" x14ac:dyDescent="0.3">
      <c r="A134" s="627"/>
      <c r="B134" s="107" t="s">
        <v>238</v>
      </c>
      <c r="C134" s="106" t="s">
        <v>106</v>
      </c>
      <c r="D134" s="108" t="s">
        <v>106</v>
      </c>
      <c r="E134" s="109">
        <v>-0.17</v>
      </c>
    </row>
    <row r="135" spans="1:5" ht="15" x14ac:dyDescent="0.3">
      <c r="A135" s="627"/>
      <c r="B135" s="107" t="s">
        <v>239</v>
      </c>
      <c r="C135" s="106" t="s">
        <v>106</v>
      </c>
      <c r="D135" s="110" t="s">
        <v>106</v>
      </c>
      <c r="E135" s="111">
        <v>-0.15</v>
      </c>
    </row>
    <row r="136" spans="1:5" ht="15" x14ac:dyDescent="0.3">
      <c r="A136" s="627"/>
      <c r="B136" s="107" t="s">
        <v>240</v>
      </c>
      <c r="C136" s="106" t="s">
        <v>106</v>
      </c>
      <c r="D136" s="108" t="s">
        <v>106</v>
      </c>
      <c r="E136" s="109">
        <v>-0.14000000000000001</v>
      </c>
    </row>
    <row r="137" spans="1:5" ht="15" x14ac:dyDescent="0.3">
      <c r="A137" s="627"/>
      <c r="B137" s="107" t="s">
        <v>241</v>
      </c>
      <c r="C137" s="106" t="s">
        <v>106</v>
      </c>
      <c r="D137" s="110" t="s">
        <v>106</v>
      </c>
      <c r="E137" s="111">
        <v>-0.17</v>
      </c>
    </row>
    <row r="138" spans="1:5" ht="15" x14ac:dyDescent="0.3">
      <c r="A138" s="627"/>
      <c r="B138" s="107" t="s">
        <v>242</v>
      </c>
      <c r="C138" s="106" t="s">
        <v>106</v>
      </c>
      <c r="D138" s="108" t="s">
        <v>106</v>
      </c>
      <c r="E138" s="109">
        <v>-0.16</v>
      </c>
    </row>
    <row r="139" spans="1:5" ht="15" x14ac:dyDescent="0.3">
      <c r="A139" s="627"/>
      <c r="B139" s="107" t="s">
        <v>243</v>
      </c>
      <c r="C139" s="106" t="s">
        <v>106</v>
      </c>
      <c r="D139" s="110" t="s">
        <v>106</v>
      </c>
      <c r="E139" s="111">
        <v>-0.17</v>
      </c>
    </row>
    <row r="140" spans="1:5" ht="15" x14ac:dyDescent="0.3">
      <c r="A140" s="627"/>
      <c r="B140" s="107" t="s">
        <v>244</v>
      </c>
      <c r="C140" s="106" t="s">
        <v>106</v>
      </c>
      <c r="D140" s="108" t="s">
        <v>106</v>
      </c>
      <c r="E140" s="109">
        <v>-0.16</v>
      </c>
    </row>
    <row r="141" spans="1:5" ht="15" x14ac:dyDescent="0.3">
      <c r="A141" s="627"/>
      <c r="B141" s="107" t="s">
        <v>245</v>
      </c>
      <c r="C141" s="106" t="s">
        <v>106</v>
      </c>
      <c r="D141" s="110" t="s">
        <v>106</v>
      </c>
      <c r="E141" s="111">
        <v>-0.18</v>
      </c>
    </row>
    <row r="142" spans="1:5" ht="15" x14ac:dyDescent="0.3">
      <c r="A142" s="627"/>
      <c r="B142" s="107" t="s">
        <v>246</v>
      </c>
      <c r="C142" s="106" t="s">
        <v>106</v>
      </c>
      <c r="D142" s="108" t="s">
        <v>106</v>
      </c>
      <c r="E142" s="109">
        <v>-0.21</v>
      </c>
    </row>
    <row r="143" spans="1:5" ht="15" x14ac:dyDescent="0.3">
      <c r="A143" s="627"/>
      <c r="B143" s="107" t="s">
        <v>247</v>
      </c>
      <c r="C143" s="106" t="s">
        <v>106</v>
      </c>
      <c r="D143" s="110" t="s">
        <v>106</v>
      </c>
      <c r="E143" s="111">
        <v>-0.18</v>
      </c>
    </row>
    <row r="144" spans="1:5" ht="15" x14ac:dyDescent="0.3">
      <c r="A144" s="627"/>
      <c r="B144" s="107" t="s">
        <v>248</v>
      </c>
      <c r="C144" s="106" t="s">
        <v>106</v>
      </c>
      <c r="D144" s="108" t="s">
        <v>106</v>
      </c>
      <c r="E144" s="109">
        <v>-0.18</v>
      </c>
    </row>
    <row r="145" spans="1:5" ht="15" x14ac:dyDescent="0.3">
      <c r="A145" s="627"/>
      <c r="B145" s="107" t="s">
        <v>249</v>
      </c>
      <c r="C145" s="106" t="s">
        <v>106</v>
      </c>
      <c r="D145" s="110" t="s">
        <v>106</v>
      </c>
      <c r="E145" s="111">
        <v>-0.21</v>
      </c>
    </row>
    <row r="146" spans="1:5" ht="15" x14ac:dyDescent="0.3">
      <c r="A146" s="627"/>
      <c r="B146" s="107" t="s">
        <v>250</v>
      </c>
      <c r="C146" s="106" t="s">
        <v>106</v>
      </c>
      <c r="D146" s="108" t="s">
        <v>106</v>
      </c>
      <c r="E146" s="109">
        <v>-0.22</v>
      </c>
    </row>
    <row r="147" spans="1:5" ht="15" x14ac:dyDescent="0.3">
      <c r="A147" s="627"/>
      <c r="B147" s="107" t="s">
        <v>251</v>
      </c>
      <c r="C147" s="106" t="s">
        <v>106</v>
      </c>
      <c r="D147" s="110" t="s">
        <v>106</v>
      </c>
      <c r="E147" s="111">
        <v>-0.23</v>
      </c>
    </row>
    <row r="148" spans="1:5" ht="15" x14ac:dyDescent="0.3">
      <c r="A148" s="627"/>
      <c r="B148" s="107" t="s">
        <v>252</v>
      </c>
      <c r="C148" s="106" t="s">
        <v>106</v>
      </c>
      <c r="D148" s="108" t="s">
        <v>106</v>
      </c>
      <c r="E148" s="109">
        <v>-0.24</v>
      </c>
    </row>
    <row r="149" spans="1:5" ht="15" x14ac:dyDescent="0.3">
      <c r="A149" s="627"/>
      <c r="B149" s="107" t="s">
        <v>253</v>
      </c>
      <c r="C149" s="106" t="s">
        <v>106</v>
      </c>
      <c r="D149" s="110" t="s">
        <v>106</v>
      </c>
      <c r="E149" s="111">
        <v>-0.22</v>
      </c>
    </row>
    <row r="150" spans="1:5" ht="15" x14ac:dyDescent="0.3">
      <c r="A150" s="627"/>
      <c r="B150" s="107" t="s">
        <v>254</v>
      </c>
      <c r="C150" s="106" t="s">
        <v>106</v>
      </c>
      <c r="D150" s="108" t="s">
        <v>106</v>
      </c>
      <c r="E150" s="109">
        <v>-0.25</v>
      </c>
    </row>
    <row r="151" spans="1:5" ht="15" x14ac:dyDescent="0.3">
      <c r="A151" s="627"/>
      <c r="B151" s="107" t="s">
        <v>255</v>
      </c>
      <c r="C151" s="106" t="s">
        <v>106</v>
      </c>
      <c r="D151" s="110" t="s">
        <v>106</v>
      </c>
      <c r="E151" s="111">
        <v>-0.25</v>
      </c>
    </row>
    <row r="152" spans="1:5" ht="15" x14ac:dyDescent="0.3">
      <c r="A152" s="627"/>
      <c r="B152" s="107" t="s">
        <v>256</v>
      </c>
      <c r="C152" s="106" t="s">
        <v>106</v>
      </c>
      <c r="D152" s="108" t="s">
        <v>106</v>
      </c>
      <c r="E152" s="109">
        <v>-0.24</v>
      </c>
    </row>
    <row r="153" spans="1:5" ht="15" x14ac:dyDescent="0.3">
      <c r="A153" s="627"/>
      <c r="B153" s="107" t="s">
        <v>257</v>
      </c>
      <c r="C153" s="106" t="s">
        <v>106</v>
      </c>
      <c r="D153" s="110" t="s">
        <v>106</v>
      </c>
      <c r="E153" s="111">
        <v>-0.26</v>
      </c>
    </row>
    <row r="154" spans="1:5" ht="15" x14ac:dyDescent="0.3">
      <c r="A154" s="627"/>
      <c r="B154" s="107" t="s">
        <v>258</v>
      </c>
      <c r="C154" s="106" t="s">
        <v>106</v>
      </c>
      <c r="D154" s="108" t="s">
        <v>106</v>
      </c>
      <c r="E154" s="109">
        <v>-0.25</v>
      </c>
    </row>
    <row r="155" spans="1:5" ht="15" x14ac:dyDescent="0.3">
      <c r="A155" s="627"/>
      <c r="B155" s="107" t="s">
        <v>259</v>
      </c>
      <c r="C155" s="106" t="s">
        <v>106</v>
      </c>
      <c r="D155" s="110" t="s">
        <v>106</v>
      </c>
      <c r="E155" s="111">
        <v>-0.26</v>
      </c>
    </row>
    <row r="156" spans="1:5" ht="15" x14ac:dyDescent="0.3">
      <c r="A156" s="627"/>
      <c r="B156" s="107" t="s">
        <v>260</v>
      </c>
      <c r="C156" s="106" t="s">
        <v>106</v>
      </c>
      <c r="D156" s="108" t="s">
        <v>106</v>
      </c>
      <c r="E156" s="109">
        <v>-0.21</v>
      </c>
    </row>
    <row r="157" spans="1:5" ht="15" x14ac:dyDescent="0.3">
      <c r="A157" s="627"/>
      <c r="B157" s="107" t="s">
        <v>261</v>
      </c>
      <c r="C157" s="106" t="s">
        <v>106</v>
      </c>
      <c r="D157" s="110" t="s">
        <v>106</v>
      </c>
      <c r="E157" s="111">
        <v>-0.21</v>
      </c>
    </row>
    <row r="158" spans="1:5" ht="15" x14ac:dyDescent="0.3">
      <c r="A158" s="627"/>
      <c r="B158" s="107" t="s">
        <v>262</v>
      </c>
      <c r="C158" s="106" t="s">
        <v>106</v>
      </c>
      <c r="D158" s="108" t="s">
        <v>106</v>
      </c>
      <c r="E158" s="109">
        <v>-0.14000000000000001</v>
      </c>
    </row>
    <row r="159" spans="1:5" ht="15" x14ac:dyDescent="0.3">
      <c r="A159" s="627"/>
      <c r="B159" s="107" t="s">
        <v>263</v>
      </c>
      <c r="C159" s="106" t="s">
        <v>106</v>
      </c>
      <c r="D159" s="110" t="s">
        <v>106</v>
      </c>
      <c r="E159" s="111">
        <v>-0.16</v>
      </c>
    </row>
    <row r="160" spans="1:5" ht="15" x14ac:dyDescent="0.3">
      <c r="A160" s="627"/>
      <c r="B160" s="107" t="s">
        <v>264</v>
      </c>
      <c r="C160" s="106" t="s">
        <v>106</v>
      </c>
      <c r="D160" s="108" t="s">
        <v>106</v>
      </c>
      <c r="E160" s="109">
        <v>-0.19</v>
      </c>
    </row>
    <row r="161" spans="1:5" ht="15" x14ac:dyDescent="0.3">
      <c r="A161" s="627"/>
      <c r="B161" s="107" t="s">
        <v>265</v>
      </c>
      <c r="C161" s="106" t="s">
        <v>106</v>
      </c>
      <c r="D161" s="110" t="s">
        <v>106</v>
      </c>
      <c r="E161" s="111">
        <v>-0.22</v>
      </c>
    </row>
    <row r="162" spans="1:5" ht="15" x14ac:dyDescent="0.3">
      <c r="A162" s="627"/>
      <c r="B162" s="107" t="s">
        <v>266</v>
      </c>
      <c r="C162" s="106" t="s">
        <v>106</v>
      </c>
      <c r="D162" s="108" t="s">
        <v>106</v>
      </c>
      <c r="E162" s="109">
        <v>-0.22</v>
      </c>
    </row>
    <row r="163" spans="1:5" ht="15" x14ac:dyDescent="0.3">
      <c r="A163" s="627"/>
      <c r="B163" s="107" t="s">
        <v>267</v>
      </c>
      <c r="C163" s="106" t="s">
        <v>106</v>
      </c>
      <c r="D163" s="110" t="s">
        <v>106</v>
      </c>
      <c r="E163" s="111">
        <v>-0.24</v>
      </c>
    </row>
    <row r="164" spans="1:5" ht="15" x14ac:dyDescent="0.3">
      <c r="A164" s="627"/>
      <c r="B164" s="107" t="s">
        <v>268</v>
      </c>
      <c r="C164" s="106" t="s">
        <v>106</v>
      </c>
      <c r="D164" s="108" t="s">
        <v>106</v>
      </c>
      <c r="E164" s="109">
        <v>-0.22</v>
      </c>
    </row>
    <row r="165" spans="1:5" ht="15" x14ac:dyDescent="0.3">
      <c r="A165" s="627"/>
      <c r="B165" s="107" t="s">
        <v>269</v>
      </c>
      <c r="C165" s="106" t="s">
        <v>106</v>
      </c>
      <c r="D165" s="110" t="s">
        <v>106</v>
      </c>
      <c r="E165" s="111">
        <v>-0.19</v>
      </c>
    </row>
    <row r="166" spans="1:5" ht="15" x14ac:dyDescent="0.3">
      <c r="A166" s="627"/>
      <c r="B166" s="107" t="s">
        <v>270</v>
      </c>
      <c r="C166" s="106" t="s">
        <v>106</v>
      </c>
      <c r="D166" s="108" t="s">
        <v>106</v>
      </c>
      <c r="E166" s="109">
        <v>-0.16</v>
      </c>
    </row>
    <row r="167" spans="1:5" ht="15" x14ac:dyDescent="0.3">
      <c r="A167" s="627"/>
      <c r="B167" s="107" t="s">
        <v>271</v>
      </c>
      <c r="C167" s="106" t="s">
        <v>106</v>
      </c>
      <c r="D167" s="110" t="s">
        <v>106</v>
      </c>
      <c r="E167" s="111">
        <v>-0.19</v>
      </c>
    </row>
    <row r="168" spans="1:5" ht="15" x14ac:dyDescent="0.3">
      <c r="A168" s="627"/>
      <c r="B168" s="107" t="s">
        <v>272</v>
      </c>
      <c r="C168" s="106" t="s">
        <v>106</v>
      </c>
      <c r="D168" s="108" t="s">
        <v>106</v>
      </c>
      <c r="E168" s="109">
        <v>-0.13</v>
      </c>
    </row>
    <row r="169" spans="1:5" ht="15" x14ac:dyDescent="0.3">
      <c r="A169" s="627"/>
      <c r="B169" s="107" t="s">
        <v>273</v>
      </c>
      <c r="C169" s="106" t="s">
        <v>106</v>
      </c>
      <c r="D169" s="110" t="s">
        <v>106</v>
      </c>
      <c r="E169" s="111">
        <v>-0.13</v>
      </c>
    </row>
    <row r="170" spans="1:5" ht="15" x14ac:dyDescent="0.3">
      <c r="A170" s="627"/>
      <c r="B170" s="107" t="s">
        <v>274</v>
      </c>
      <c r="C170" s="106" t="s">
        <v>106</v>
      </c>
      <c r="D170" s="108" t="s">
        <v>106</v>
      </c>
      <c r="E170" s="109">
        <v>-0.13</v>
      </c>
    </row>
    <row r="171" spans="1:5" ht="15" x14ac:dyDescent="0.3">
      <c r="A171" s="627"/>
      <c r="B171" s="107" t="s">
        <v>275</v>
      </c>
      <c r="C171" s="106" t="s">
        <v>106</v>
      </c>
      <c r="D171" s="110" t="s">
        <v>106</v>
      </c>
      <c r="E171" s="111">
        <v>-0.2</v>
      </c>
    </row>
    <row r="172" spans="1:5" ht="15" x14ac:dyDescent="0.3">
      <c r="A172" s="627"/>
      <c r="B172" s="107" t="s">
        <v>276</v>
      </c>
      <c r="C172" s="106" t="s">
        <v>106</v>
      </c>
      <c r="D172" s="108" t="s">
        <v>106</v>
      </c>
      <c r="E172" s="109">
        <v>-0.21</v>
      </c>
    </row>
    <row r="173" spans="1:5" ht="15" x14ac:dyDescent="0.3">
      <c r="A173" s="627"/>
      <c r="B173" s="107" t="s">
        <v>277</v>
      </c>
      <c r="C173" s="106" t="s">
        <v>106</v>
      </c>
      <c r="D173" s="110" t="s">
        <v>106</v>
      </c>
      <c r="E173" s="111">
        <v>-0.22</v>
      </c>
    </row>
    <row r="174" spans="1:5" ht="15" x14ac:dyDescent="0.3">
      <c r="A174" s="627"/>
      <c r="B174" s="107" t="s">
        <v>278</v>
      </c>
      <c r="C174" s="106" t="s">
        <v>106</v>
      </c>
      <c r="D174" s="108" t="s">
        <v>106</v>
      </c>
      <c r="E174" s="109">
        <v>-0.2</v>
      </c>
    </row>
    <row r="175" spans="1:5" ht="15" x14ac:dyDescent="0.3">
      <c r="A175" s="627"/>
      <c r="B175" s="107" t="s">
        <v>279</v>
      </c>
      <c r="C175" s="106" t="s">
        <v>106</v>
      </c>
      <c r="D175" s="110" t="s">
        <v>106</v>
      </c>
      <c r="E175" s="111">
        <v>-0.21</v>
      </c>
    </row>
    <row r="176" spans="1:5" ht="15" x14ac:dyDescent="0.3">
      <c r="A176" s="627"/>
      <c r="B176" s="107" t="s">
        <v>280</v>
      </c>
      <c r="C176" s="106" t="s">
        <v>106</v>
      </c>
      <c r="D176" s="108" t="s">
        <v>106</v>
      </c>
      <c r="E176" s="109">
        <v>-0.24</v>
      </c>
    </row>
    <row r="177" spans="1:5" ht="15" x14ac:dyDescent="0.3">
      <c r="A177" s="627"/>
      <c r="B177" s="107" t="s">
        <v>281</v>
      </c>
      <c r="C177" s="106" t="s">
        <v>106</v>
      </c>
      <c r="D177" s="110" t="s">
        <v>106</v>
      </c>
      <c r="E177" s="111">
        <v>-0.2</v>
      </c>
    </row>
    <row r="178" spans="1:5" ht="15" x14ac:dyDescent="0.3">
      <c r="A178" s="627"/>
      <c r="B178" s="107" t="s">
        <v>282</v>
      </c>
      <c r="C178" s="106" t="s">
        <v>106</v>
      </c>
      <c r="D178" s="108" t="s">
        <v>106</v>
      </c>
      <c r="E178" s="109">
        <v>-0.21</v>
      </c>
    </row>
    <row r="179" spans="1:5" ht="15" x14ac:dyDescent="0.3">
      <c r="A179" s="627"/>
      <c r="B179" s="107" t="s">
        <v>283</v>
      </c>
      <c r="C179" s="106" t="s">
        <v>106</v>
      </c>
      <c r="D179" s="110" t="s">
        <v>106</v>
      </c>
      <c r="E179" s="111">
        <v>-0.24</v>
      </c>
    </row>
    <row r="180" spans="1:5" ht="15" x14ac:dyDescent="0.3">
      <c r="A180" s="627"/>
      <c r="B180" s="107" t="s">
        <v>284</v>
      </c>
      <c r="C180" s="106" t="s">
        <v>106</v>
      </c>
      <c r="D180" s="108" t="s">
        <v>106</v>
      </c>
      <c r="E180" s="109">
        <v>-0.23</v>
      </c>
    </row>
    <row r="181" spans="1:5" ht="15" x14ac:dyDescent="0.3">
      <c r="A181" s="627"/>
      <c r="B181" s="107" t="s">
        <v>285</v>
      </c>
      <c r="C181" s="106" t="s">
        <v>106</v>
      </c>
      <c r="D181" s="110" t="s">
        <v>106</v>
      </c>
      <c r="E181" s="111">
        <v>-0.25</v>
      </c>
    </row>
    <row r="182" spans="1:5" ht="15" x14ac:dyDescent="0.3">
      <c r="A182" s="627"/>
      <c r="B182" s="107" t="s">
        <v>286</v>
      </c>
      <c r="C182" s="106" t="s">
        <v>106</v>
      </c>
      <c r="D182" s="108" t="s">
        <v>106</v>
      </c>
      <c r="E182" s="109">
        <v>-0.24</v>
      </c>
    </row>
    <row r="183" spans="1:5" ht="15" x14ac:dyDescent="0.3">
      <c r="A183" s="627"/>
      <c r="B183" s="107" t="s">
        <v>287</v>
      </c>
      <c r="C183" s="106" t="s">
        <v>106</v>
      </c>
      <c r="D183" s="110" t="s">
        <v>106</v>
      </c>
      <c r="E183" s="111">
        <v>-0.26</v>
      </c>
    </row>
    <row r="184" spans="1:5" ht="15" x14ac:dyDescent="0.3">
      <c r="A184" s="627"/>
      <c r="B184" s="107" t="s">
        <v>288</v>
      </c>
      <c r="C184" s="106" t="s">
        <v>106</v>
      </c>
      <c r="D184" s="108" t="s">
        <v>106</v>
      </c>
      <c r="E184" s="109">
        <v>-0.28000000000000003</v>
      </c>
    </row>
    <row r="185" spans="1:5" ht="15" x14ac:dyDescent="0.3">
      <c r="A185" s="627"/>
      <c r="B185" s="107" t="s">
        <v>289</v>
      </c>
      <c r="C185" s="106" t="s">
        <v>106</v>
      </c>
      <c r="D185" s="110" t="s">
        <v>106</v>
      </c>
      <c r="E185" s="111">
        <v>-0.3</v>
      </c>
    </row>
    <row r="186" spans="1:5" ht="15" x14ac:dyDescent="0.3">
      <c r="A186" s="627"/>
      <c r="B186" s="107" t="s">
        <v>290</v>
      </c>
      <c r="C186" s="106" t="s">
        <v>106</v>
      </c>
      <c r="D186" s="108" t="s">
        <v>106</v>
      </c>
      <c r="E186" s="109">
        <v>-0.28999999999999998</v>
      </c>
    </row>
    <row r="187" spans="1:5" ht="15" x14ac:dyDescent="0.3">
      <c r="A187" s="627"/>
      <c r="B187" s="107" t="s">
        <v>291</v>
      </c>
      <c r="C187" s="106" t="s">
        <v>106</v>
      </c>
      <c r="D187" s="110" t="s">
        <v>106</v>
      </c>
      <c r="E187" s="111">
        <v>-0.3</v>
      </c>
    </row>
    <row r="188" spans="1:5" ht="15" x14ac:dyDescent="0.3">
      <c r="A188" s="627"/>
      <c r="B188" s="107" t="s">
        <v>292</v>
      </c>
      <c r="C188" s="106" t="s">
        <v>106</v>
      </c>
      <c r="D188" s="108" t="s">
        <v>106</v>
      </c>
      <c r="E188" s="109">
        <v>-0.28000000000000003</v>
      </c>
    </row>
    <row r="189" spans="1:5" ht="15" x14ac:dyDescent="0.3">
      <c r="A189" s="627"/>
      <c r="B189" s="107" t="s">
        <v>293</v>
      </c>
      <c r="C189" s="106" t="s">
        <v>106</v>
      </c>
      <c r="D189" s="110" t="s">
        <v>106</v>
      </c>
      <c r="E189" s="111">
        <v>-0.28999999999999998</v>
      </c>
    </row>
    <row r="190" spans="1:5" ht="15" x14ac:dyDescent="0.3">
      <c r="A190" s="627"/>
      <c r="B190" s="107" t="s">
        <v>294</v>
      </c>
      <c r="C190" s="106" t="s">
        <v>106</v>
      </c>
      <c r="D190" s="108" t="s">
        <v>106</v>
      </c>
      <c r="E190" s="109">
        <v>-0.31</v>
      </c>
    </row>
    <row r="191" spans="1:5" ht="15" x14ac:dyDescent="0.3">
      <c r="A191" s="627"/>
      <c r="B191" s="107" t="s">
        <v>295</v>
      </c>
      <c r="C191" s="106" t="s">
        <v>106</v>
      </c>
      <c r="D191" s="110" t="s">
        <v>106</v>
      </c>
      <c r="E191" s="111">
        <v>-0.33</v>
      </c>
    </row>
    <row r="192" spans="1:5" ht="15" x14ac:dyDescent="0.3">
      <c r="A192" s="627"/>
      <c r="B192" s="107" t="s">
        <v>296</v>
      </c>
      <c r="C192" s="106" t="s">
        <v>106</v>
      </c>
      <c r="D192" s="108" t="s">
        <v>106</v>
      </c>
      <c r="E192" s="109">
        <v>-0.28999999999999998</v>
      </c>
    </row>
    <row r="193" spans="1:5" ht="15" x14ac:dyDescent="0.3">
      <c r="A193" s="627"/>
      <c r="B193" s="107" t="s">
        <v>297</v>
      </c>
      <c r="C193" s="106" t="s">
        <v>106</v>
      </c>
      <c r="D193" s="110" t="s">
        <v>106</v>
      </c>
      <c r="E193" s="111">
        <v>-0.31</v>
      </c>
    </row>
    <row r="194" spans="1:5" ht="15" x14ac:dyDescent="0.3">
      <c r="A194" s="627"/>
      <c r="B194" s="107" t="s">
        <v>298</v>
      </c>
      <c r="C194" s="106" t="s">
        <v>106</v>
      </c>
      <c r="D194" s="108" t="s">
        <v>106</v>
      </c>
      <c r="E194" s="109">
        <v>-0.31</v>
      </c>
    </row>
    <row r="195" spans="1:5" ht="15" x14ac:dyDescent="0.3">
      <c r="A195" s="627"/>
      <c r="B195" s="107" t="s">
        <v>299</v>
      </c>
      <c r="C195" s="106" t="s">
        <v>106</v>
      </c>
      <c r="D195" s="110" t="s">
        <v>106</v>
      </c>
      <c r="E195" s="111">
        <v>-0.3</v>
      </c>
    </row>
    <row r="196" spans="1:5" ht="15" x14ac:dyDescent="0.3">
      <c r="A196" s="627"/>
      <c r="B196" s="107" t="s">
        <v>300</v>
      </c>
      <c r="C196" s="106" t="s">
        <v>106</v>
      </c>
      <c r="D196" s="108" t="s">
        <v>106</v>
      </c>
      <c r="E196" s="109">
        <v>-0.3</v>
      </c>
    </row>
    <row r="197" spans="1:5" ht="15" x14ac:dyDescent="0.3">
      <c r="A197" s="627"/>
      <c r="B197" s="107" t="s">
        <v>301</v>
      </c>
      <c r="C197" s="106" t="s">
        <v>106</v>
      </c>
      <c r="D197" s="110" t="s">
        <v>106</v>
      </c>
      <c r="E197" s="111">
        <v>-0.3</v>
      </c>
    </row>
    <row r="198" spans="1:5" ht="15" x14ac:dyDescent="0.3">
      <c r="A198" s="627"/>
      <c r="B198" s="107" t="s">
        <v>302</v>
      </c>
      <c r="C198" s="106" t="s">
        <v>106</v>
      </c>
      <c r="D198" s="108" t="s">
        <v>106</v>
      </c>
      <c r="E198" s="109">
        <v>-0.33</v>
      </c>
    </row>
    <row r="199" spans="1:5" ht="15" x14ac:dyDescent="0.3">
      <c r="A199" s="627"/>
      <c r="B199" s="107" t="s">
        <v>303</v>
      </c>
      <c r="C199" s="106" t="s">
        <v>106</v>
      </c>
      <c r="D199" s="110" t="s">
        <v>106</v>
      </c>
      <c r="E199" s="111">
        <v>-0.33</v>
      </c>
    </row>
    <row r="200" spans="1:5" ht="15" x14ac:dyDescent="0.3">
      <c r="A200" s="627"/>
      <c r="B200" s="107" t="s">
        <v>304</v>
      </c>
      <c r="C200" s="106" t="s">
        <v>106</v>
      </c>
      <c r="D200" s="108" t="s">
        <v>106</v>
      </c>
      <c r="E200" s="109">
        <v>-0.34</v>
      </c>
    </row>
    <row r="201" spans="1:5" ht="15" x14ac:dyDescent="0.3">
      <c r="A201" s="627"/>
      <c r="B201" s="107" t="s">
        <v>305</v>
      </c>
      <c r="C201" s="106" t="s">
        <v>106</v>
      </c>
      <c r="D201" s="110" t="s">
        <v>106</v>
      </c>
      <c r="E201" s="111">
        <v>-0.36</v>
      </c>
    </row>
    <row r="202" spans="1:5" ht="15" x14ac:dyDescent="0.3">
      <c r="A202" s="627"/>
      <c r="B202" s="107" t="s">
        <v>306</v>
      </c>
      <c r="C202" s="106" t="s">
        <v>106</v>
      </c>
      <c r="D202" s="108" t="s">
        <v>106</v>
      </c>
      <c r="E202" s="109">
        <v>-0.38</v>
      </c>
    </row>
    <row r="203" spans="1:5" ht="15" x14ac:dyDescent="0.3">
      <c r="A203" s="627"/>
      <c r="B203" s="107" t="s">
        <v>307</v>
      </c>
      <c r="C203" s="106" t="s">
        <v>106</v>
      </c>
      <c r="D203" s="110" t="s">
        <v>106</v>
      </c>
      <c r="E203" s="111">
        <v>-0.38</v>
      </c>
    </row>
    <row r="204" spans="1:5" ht="15" x14ac:dyDescent="0.3">
      <c r="A204" s="627"/>
      <c r="B204" s="107" t="s">
        <v>308</v>
      </c>
      <c r="C204" s="106" t="s">
        <v>106</v>
      </c>
      <c r="D204" s="108" t="s">
        <v>106</v>
      </c>
      <c r="E204" s="109">
        <v>-0.39</v>
      </c>
    </row>
    <row r="205" spans="1:5" ht="15" x14ac:dyDescent="0.3">
      <c r="A205" s="627"/>
      <c r="B205" s="107" t="s">
        <v>309</v>
      </c>
      <c r="C205" s="106" t="s">
        <v>106</v>
      </c>
      <c r="D205" s="110" t="s">
        <v>106</v>
      </c>
      <c r="E205" s="111">
        <v>-0.38</v>
      </c>
    </row>
    <row r="206" spans="1:5" ht="15" x14ac:dyDescent="0.3">
      <c r="A206" s="627"/>
      <c r="B206" s="107" t="s">
        <v>310</v>
      </c>
      <c r="C206" s="106" t="s">
        <v>106</v>
      </c>
      <c r="D206" s="108" t="s">
        <v>106</v>
      </c>
      <c r="E206" s="109">
        <v>-0.35</v>
      </c>
    </row>
    <row r="207" spans="1:5" ht="15" x14ac:dyDescent="0.3">
      <c r="A207" s="627"/>
      <c r="B207" s="107" t="s">
        <v>311</v>
      </c>
      <c r="C207" s="106" t="s">
        <v>106</v>
      </c>
      <c r="D207" s="110" t="s">
        <v>106</v>
      </c>
      <c r="E207" s="111">
        <v>-0.34</v>
      </c>
    </row>
    <row r="208" spans="1:5" ht="15" x14ac:dyDescent="0.3">
      <c r="A208" s="627"/>
      <c r="B208" s="107" t="s">
        <v>312</v>
      </c>
      <c r="C208" s="106" t="s">
        <v>106</v>
      </c>
      <c r="D208" s="108" t="s">
        <v>106</v>
      </c>
      <c r="E208" s="109">
        <v>-0.33</v>
      </c>
    </row>
    <row r="209" spans="1:5" ht="15" x14ac:dyDescent="0.3">
      <c r="A209" s="627"/>
      <c r="B209" s="107" t="s">
        <v>313</v>
      </c>
      <c r="C209" s="106" t="s">
        <v>106</v>
      </c>
      <c r="D209" s="110" t="s">
        <v>106</v>
      </c>
      <c r="E209" s="111">
        <v>-0.35</v>
      </c>
    </row>
    <row r="210" spans="1:5" ht="15" x14ac:dyDescent="0.3">
      <c r="A210" s="627"/>
      <c r="B210" s="107" t="s">
        <v>314</v>
      </c>
      <c r="C210" s="106" t="s">
        <v>106</v>
      </c>
      <c r="D210" s="108" t="s">
        <v>106</v>
      </c>
      <c r="E210" s="109">
        <v>-0.36</v>
      </c>
    </row>
    <row r="211" spans="1:5" ht="15" x14ac:dyDescent="0.3">
      <c r="A211" s="627"/>
      <c r="B211" s="107" t="s">
        <v>315</v>
      </c>
      <c r="C211" s="106" t="s">
        <v>106</v>
      </c>
      <c r="D211" s="110" t="s">
        <v>106</v>
      </c>
      <c r="E211" s="111">
        <v>-0.38</v>
      </c>
    </row>
    <row r="212" spans="1:5" ht="15" x14ac:dyDescent="0.3">
      <c r="A212" s="627"/>
      <c r="B212" s="107" t="s">
        <v>316</v>
      </c>
      <c r="C212" s="106" t="s">
        <v>106</v>
      </c>
      <c r="D212" s="108" t="s">
        <v>106</v>
      </c>
      <c r="E212" s="109">
        <v>-0.38</v>
      </c>
    </row>
    <row r="213" spans="1:5" ht="15" x14ac:dyDescent="0.3">
      <c r="A213" s="627"/>
      <c r="B213" s="107" t="s">
        <v>317</v>
      </c>
      <c r="C213" s="106" t="s">
        <v>106</v>
      </c>
      <c r="D213" s="110" t="s">
        <v>106</v>
      </c>
      <c r="E213" s="111">
        <v>-0.39</v>
      </c>
    </row>
    <row r="214" spans="1:5" ht="15" x14ac:dyDescent="0.3">
      <c r="A214" s="627"/>
      <c r="B214" s="107" t="s">
        <v>318</v>
      </c>
      <c r="C214" s="106" t="s">
        <v>106</v>
      </c>
      <c r="D214" s="108" t="s">
        <v>106</v>
      </c>
      <c r="E214" s="109">
        <v>-0.38</v>
      </c>
    </row>
    <row r="215" spans="1:5" ht="15" x14ac:dyDescent="0.3">
      <c r="A215" s="627"/>
      <c r="B215" s="107" t="s">
        <v>319</v>
      </c>
      <c r="C215" s="106" t="s">
        <v>106</v>
      </c>
      <c r="D215" s="110" t="s">
        <v>106</v>
      </c>
      <c r="E215" s="111">
        <v>-0.38</v>
      </c>
    </row>
    <row r="216" spans="1:5" ht="15" x14ac:dyDescent="0.3">
      <c r="A216" s="627"/>
      <c r="B216" s="107" t="s">
        <v>320</v>
      </c>
      <c r="C216" s="106" t="s">
        <v>106</v>
      </c>
      <c r="D216" s="108" t="s">
        <v>106</v>
      </c>
      <c r="E216" s="109">
        <v>-0.42</v>
      </c>
    </row>
    <row r="217" spans="1:5" ht="15" x14ac:dyDescent="0.3">
      <c r="A217" s="627"/>
      <c r="B217" s="107" t="s">
        <v>321</v>
      </c>
      <c r="C217" s="106" t="s">
        <v>106</v>
      </c>
      <c r="D217" s="110" t="s">
        <v>106</v>
      </c>
      <c r="E217" s="111">
        <v>-0.42</v>
      </c>
    </row>
    <row r="218" spans="1:5" ht="15" x14ac:dyDescent="0.3">
      <c r="A218" s="627"/>
      <c r="B218" s="107" t="s">
        <v>322</v>
      </c>
      <c r="C218" s="106" t="s">
        <v>106</v>
      </c>
      <c r="D218" s="108" t="s">
        <v>106</v>
      </c>
      <c r="E218" s="109">
        <v>-0.42</v>
      </c>
    </row>
    <row r="219" spans="1:5" ht="15" x14ac:dyDescent="0.3">
      <c r="A219" s="627"/>
      <c r="B219" s="107" t="s">
        <v>323</v>
      </c>
      <c r="C219" s="106" t="s">
        <v>106</v>
      </c>
      <c r="D219" s="110" t="s">
        <v>106</v>
      </c>
      <c r="E219" s="111">
        <v>-0.43</v>
      </c>
    </row>
    <row r="220" spans="1:5" ht="15" x14ac:dyDescent="0.3">
      <c r="A220" s="627"/>
      <c r="B220" s="107" t="s">
        <v>324</v>
      </c>
      <c r="C220" s="106" t="s">
        <v>106</v>
      </c>
      <c r="D220" s="108" t="s">
        <v>106</v>
      </c>
      <c r="E220" s="109">
        <v>-0.3</v>
      </c>
    </row>
    <row r="221" spans="1:5" ht="15" x14ac:dyDescent="0.3">
      <c r="A221" s="627"/>
      <c r="B221" s="107" t="s">
        <v>325</v>
      </c>
      <c r="C221" s="106" t="s">
        <v>106</v>
      </c>
      <c r="D221" s="110" t="s">
        <v>106</v>
      </c>
      <c r="E221" s="111">
        <v>-0.31</v>
      </c>
    </row>
    <row r="222" spans="1:5" ht="15" x14ac:dyDescent="0.3">
      <c r="A222" s="627"/>
      <c r="B222" s="107" t="s">
        <v>326</v>
      </c>
      <c r="C222" s="106" t="s">
        <v>106</v>
      </c>
      <c r="D222" s="108" t="s">
        <v>106</v>
      </c>
      <c r="E222" s="109">
        <v>-0.35</v>
      </c>
    </row>
    <row r="223" spans="1:5" ht="15" x14ac:dyDescent="0.3">
      <c r="A223" s="627"/>
      <c r="B223" s="107" t="s">
        <v>327</v>
      </c>
      <c r="C223" s="106" t="s">
        <v>106</v>
      </c>
      <c r="D223" s="110" t="s">
        <v>106</v>
      </c>
      <c r="E223" s="111">
        <v>-0.37</v>
      </c>
    </row>
    <row r="224" spans="1:5" ht="15" x14ac:dyDescent="0.3">
      <c r="A224" s="627"/>
      <c r="B224" s="107" t="s">
        <v>328</v>
      </c>
      <c r="C224" s="106" t="s">
        <v>106</v>
      </c>
      <c r="D224" s="108" t="s">
        <v>106</v>
      </c>
      <c r="E224" s="109">
        <v>-0.37</v>
      </c>
    </row>
    <row r="225" spans="1:5" ht="15" x14ac:dyDescent="0.3">
      <c r="A225" s="627"/>
      <c r="B225" s="107" t="s">
        <v>329</v>
      </c>
      <c r="C225" s="106" t="s">
        <v>106</v>
      </c>
      <c r="D225" s="110" t="s">
        <v>106</v>
      </c>
      <c r="E225" s="111">
        <v>-0.38</v>
      </c>
    </row>
    <row r="226" spans="1:5" ht="15" x14ac:dyDescent="0.3">
      <c r="A226" s="627"/>
      <c r="B226" s="107" t="s">
        <v>330</v>
      </c>
      <c r="C226" s="106" t="s">
        <v>106</v>
      </c>
      <c r="D226" s="108" t="s">
        <v>106</v>
      </c>
      <c r="E226" s="109">
        <v>-0.39</v>
      </c>
    </row>
    <row r="227" spans="1:5" ht="15" x14ac:dyDescent="0.3">
      <c r="A227" s="627"/>
      <c r="B227" s="107" t="s">
        <v>331</v>
      </c>
      <c r="C227" s="106" t="s">
        <v>106</v>
      </c>
      <c r="D227" s="110" t="s">
        <v>106</v>
      </c>
      <c r="E227" s="111">
        <v>-0.39</v>
      </c>
    </row>
    <row r="228" spans="1:5" ht="15" x14ac:dyDescent="0.3">
      <c r="A228" s="627"/>
      <c r="B228" s="107" t="s">
        <v>332</v>
      </c>
      <c r="C228" s="106" t="s">
        <v>106</v>
      </c>
      <c r="D228" s="108" t="s">
        <v>106</v>
      </c>
      <c r="E228" s="109">
        <v>-0.39</v>
      </c>
    </row>
    <row r="229" spans="1:5" ht="15" x14ac:dyDescent="0.3">
      <c r="A229" s="627"/>
      <c r="B229" s="107" t="s">
        <v>333</v>
      </c>
      <c r="C229" s="106" t="s">
        <v>106</v>
      </c>
      <c r="D229" s="110" t="s">
        <v>106</v>
      </c>
      <c r="E229" s="111">
        <v>-0.39</v>
      </c>
    </row>
    <row r="230" spans="1:5" ht="15" x14ac:dyDescent="0.3">
      <c r="A230" s="627"/>
      <c r="B230" s="107" t="s">
        <v>334</v>
      </c>
      <c r="C230" s="106" t="s">
        <v>106</v>
      </c>
      <c r="D230" s="108" t="s">
        <v>106</v>
      </c>
      <c r="E230" s="109">
        <v>-0.39</v>
      </c>
    </row>
    <row r="231" spans="1:5" ht="15" x14ac:dyDescent="0.3">
      <c r="A231" s="627"/>
      <c r="B231" s="107" t="s">
        <v>335</v>
      </c>
      <c r="C231" s="106" t="s">
        <v>106</v>
      </c>
      <c r="D231" s="110" t="s">
        <v>106</v>
      </c>
      <c r="E231" s="111">
        <v>-0.39</v>
      </c>
    </row>
    <row r="232" spans="1:5" ht="15" x14ac:dyDescent="0.3">
      <c r="A232" s="627"/>
      <c r="B232" s="107" t="s">
        <v>336</v>
      </c>
      <c r="C232" s="106" t="s">
        <v>106</v>
      </c>
      <c r="D232" s="108" t="s">
        <v>106</v>
      </c>
      <c r="E232" s="109">
        <v>-0.4</v>
      </c>
    </row>
    <row r="233" spans="1:5" ht="15" x14ac:dyDescent="0.3">
      <c r="A233" s="627"/>
      <c r="B233" s="107" t="s">
        <v>337</v>
      </c>
      <c r="C233" s="106" t="s">
        <v>106</v>
      </c>
      <c r="D233" s="110" t="s">
        <v>106</v>
      </c>
      <c r="E233" s="111">
        <v>-0.39</v>
      </c>
    </row>
    <row r="234" spans="1:5" ht="15" x14ac:dyDescent="0.3">
      <c r="A234" s="627"/>
      <c r="B234" s="107" t="s">
        <v>338</v>
      </c>
      <c r="C234" s="106" t="s">
        <v>106</v>
      </c>
      <c r="D234" s="108" t="s">
        <v>106</v>
      </c>
      <c r="E234" s="109">
        <v>-0.35</v>
      </c>
    </row>
    <row r="235" spans="1:5" ht="15" x14ac:dyDescent="0.3">
      <c r="A235" s="627"/>
      <c r="B235" s="107" t="s">
        <v>339</v>
      </c>
      <c r="C235" s="106" t="s">
        <v>106</v>
      </c>
      <c r="D235" s="110" t="s">
        <v>106</v>
      </c>
      <c r="E235" s="111">
        <v>-0.33</v>
      </c>
    </row>
    <row r="236" spans="1:5" ht="15" x14ac:dyDescent="0.3">
      <c r="A236" s="627"/>
      <c r="B236" s="107" t="s">
        <v>340</v>
      </c>
      <c r="C236" s="106" t="s">
        <v>106</v>
      </c>
      <c r="D236" s="108" t="s">
        <v>106</v>
      </c>
      <c r="E236" s="109">
        <v>-0.35</v>
      </c>
    </row>
    <row r="237" spans="1:5" ht="15" x14ac:dyDescent="0.3">
      <c r="A237" s="627"/>
      <c r="B237" s="107" t="s">
        <v>341</v>
      </c>
      <c r="C237" s="106" t="s">
        <v>106</v>
      </c>
      <c r="D237" s="110" t="s">
        <v>106</v>
      </c>
      <c r="E237" s="111">
        <v>-0.36</v>
      </c>
    </row>
    <row r="238" spans="1:5" ht="15" x14ac:dyDescent="0.3">
      <c r="A238" s="627"/>
      <c r="B238" s="107" t="s">
        <v>342</v>
      </c>
      <c r="C238" s="106" t="s">
        <v>106</v>
      </c>
      <c r="D238" s="108" t="s">
        <v>106</v>
      </c>
      <c r="E238" s="109">
        <v>-0.38</v>
      </c>
    </row>
    <row r="239" spans="1:5" ht="15" x14ac:dyDescent="0.3">
      <c r="A239" s="627"/>
      <c r="B239" s="107" t="s">
        <v>343</v>
      </c>
      <c r="C239" s="106" t="s">
        <v>106</v>
      </c>
      <c r="D239" s="110" t="s">
        <v>106</v>
      </c>
      <c r="E239" s="111">
        <v>-0.39</v>
      </c>
    </row>
    <row r="240" spans="1:5" ht="15" x14ac:dyDescent="0.3">
      <c r="A240" s="627"/>
      <c r="B240" s="107" t="s">
        <v>344</v>
      </c>
      <c r="C240" s="106" t="s">
        <v>106</v>
      </c>
      <c r="D240" s="108" t="s">
        <v>106</v>
      </c>
      <c r="E240" s="109">
        <v>-0.4</v>
      </c>
    </row>
    <row r="241" spans="1:5" ht="15" x14ac:dyDescent="0.3">
      <c r="A241" s="627"/>
      <c r="B241" s="107" t="s">
        <v>345</v>
      </c>
      <c r="C241" s="106" t="s">
        <v>106</v>
      </c>
      <c r="D241" s="110" t="s">
        <v>106</v>
      </c>
      <c r="E241" s="111">
        <v>-0.42</v>
      </c>
    </row>
    <row r="242" spans="1:5" ht="15" x14ac:dyDescent="0.3">
      <c r="A242" s="627"/>
      <c r="B242" s="107" t="s">
        <v>346</v>
      </c>
      <c r="C242" s="106" t="s">
        <v>106</v>
      </c>
      <c r="D242" s="108" t="s">
        <v>106</v>
      </c>
      <c r="E242" s="109">
        <v>-0.44</v>
      </c>
    </row>
    <row r="243" spans="1:5" ht="15" x14ac:dyDescent="0.3">
      <c r="A243" s="627"/>
      <c r="B243" s="107" t="s">
        <v>347</v>
      </c>
      <c r="C243" s="106" t="s">
        <v>106</v>
      </c>
      <c r="D243" s="110" t="s">
        <v>106</v>
      </c>
      <c r="E243" s="111">
        <v>-0.43</v>
      </c>
    </row>
    <row r="244" spans="1:5" ht="15" x14ac:dyDescent="0.3">
      <c r="A244" s="627"/>
      <c r="B244" s="107" t="s">
        <v>348</v>
      </c>
      <c r="C244" s="106" t="s">
        <v>106</v>
      </c>
      <c r="D244" s="108" t="s">
        <v>106</v>
      </c>
      <c r="E244" s="109">
        <v>-0.42</v>
      </c>
    </row>
    <row r="245" spans="1:5" ht="15" x14ac:dyDescent="0.3">
      <c r="A245" s="627"/>
      <c r="B245" s="107" t="s">
        <v>349</v>
      </c>
      <c r="C245" s="106" t="s">
        <v>106</v>
      </c>
      <c r="D245" s="110" t="s">
        <v>106</v>
      </c>
      <c r="E245" s="111">
        <v>-0.4</v>
      </c>
    </row>
    <row r="246" spans="1:5" ht="15" x14ac:dyDescent="0.3">
      <c r="A246" s="627"/>
      <c r="B246" s="107" t="s">
        <v>350</v>
      </c>
      <c r="C246" s="106" t="s">
        <v>106</v>
      </c>
      <c r="D246" s="108" t="s">
        <v>106</v>
      </c>
      <c r="E246" s="109">
        <v>-0.39</v>
      </c>
    </row>
    <row r="247" spans="1:5" ht="15" x14ac:dyDescent="0.3">
      <c r="A247" s="627"/>
      <c r="B247" s="107" t="s">
        <v>351</v>
      </c>
      <c r="C247" s="106" t="s">
        <v>106</v>
      </c>
      <c r="D247" s="110" t="s">
        <v>106</v>
      </c>
      <c r="E247" s="111">
        <v>-0.37</v>
      </c>
    </row>
    <row r="248" spans="1:5" ht="15" x14ac:dyDescent="0.3">
      <c r="A248" s="627"/>
      <c r="B248" s="107" t="s">
        <v>352</v>
      </c>
      <c r="C248" s="106" t="s">
        <v>106</v>
      </c>
      <c r="D248" s="108" t="s">
        <v>106</v>
      </c>
      <c r="E248" s="109">
        <v>-0.42</v>
      </c>
    </row>
    <row r="249" spans="1:5" ht="15" x14ac:dyDescent="0.3">
      <c r="A249" s="627"/>
      <c r="B249" s="107" t="s">
        <v>353</v>
      </c>
      <c r="C249" s="106" t="s">
        <v>106</v>
      </c>
      <c r="D249" s="110" t="s">
        <v>106</v>
      </c>
      <c r="E249" s="111">
        <v>-0.39</v>
      </c>
    </row>
    <row r="250" spans="1:5" ht="15" x14ac:dyDescent="0.3">
      <c r="A250" s="627"/>
      <c r="B250" s="107" t="s">
        <v>354</v>
      </c>
      <c r="C250" s="106" t="s">
        <v>106</v>
      </c>
      <c r="D250" s="108" t="s">
        <v>106</v>
      </c>
      <c r="E250" s="109">
        <v>-0.41</v>
      </c>
    </row>
    <row r="251" spans="1:5" ht="15" x14ac:dyDescent="0.3">
      <c r="A251" s="627"/>
      <c r="B251" s="107" t="s">
        <v>355</v>
      </c>
      <c r="C251" s="106" t="s">
        <v>106</v>
      </c>
      <c r="D251" s="110" t="s">
        <v>106</v>
      </c>
      <c r="E251" s="111">
        <v>-0.36</v>
      </c>
    </row>
    <row r="252" spans="1:5" ht="15" x14ac:dyDescent="0.3">
      <c r="A252" s="627"/>
      <c r="B252" s="107" t="s">
        <v>356</v>
      </c>
      <c r="C252" s="106" t="s">
        <v>106</v>
      </c>
      <c r="D252" s="108" t="s">
        <v>106</v>
      </c>
      <c r="E252" s="109">
        <v>-0.36</v>
      </c>
    </row>
    <row r="253" spans="1:5" ht="15" x14ac:dyDescent="0.3">
      <c r="A253" s="627"/>
      <c r="B253" s="107" t="s">
        <v>357</v>
      </c>
      <c r="C253" s="106" t="s">
        <v>106</v>
      </c>
      <c r="D253" s="110" t="s">
        <v>106</v>
      </c>
      <c r="E253" s="111">
        <v>-0.4</v>
      </c>
    </row>
    <row r="254" spans="1:5" ht="15" x14ac:dyDescent="0.3">
      <c r="A254" s="627"/>
      <c r="B254" s="107" t="s">
        <v>358</v>
      </c>
      <c r="C254" s="106" t="s">
        <v>106</v>
      </c>
      <c r="D254" s="108" t="s">
        <v>106</v>
      </c>
      <c r="E254" s="109">
        <v>-0.38</v>
      </c>
    </row>
    <row r="255" spans="1:5" ht="15" x14ac:dyDescent="0.3">
      <c r="A255" s="627"/>
      <c r="B255" s="107" t="s">
        <v>359</v>
      </c>
      <c r="C255" s="106" t="s">
        <v>106</v>
      </c>
      <c r="D255" s="110" t="s">
        <v>106</v>
      </c>
      <c r="E255" s="111">
        <v>-0.39</v>
      </c>
    </row>
    <row r="256" spans="1:5" ht="15" x14ac:dyDescent="0.3">
      <c r="A256" s="627"/>
      <c r="B256" s="107" t="s">
        <v>360</v>
      </c>
      <c r="C256" s="106" t="s">
        <v>106</v>
      </c>
      <c r="D256" s="108" t="s">
        <v>106</v>
      </c>
      <c r="E256" s="109">
        <v>-0.42</v>
      </c>
    </row>
    <row r="257" spans="1:5" ht="15" x14ac:dyDescent="0.3">
      <c r="A257" s="627"/>
      <c r="B257" s="107" t="s">
        <v>361</v>
      </c>
      <c r="C257" s="106" t="s">
        <v>106</v>
      </c>
      <c r="D257" s="110" t="s">
        <v>106</v>
      </c>
      <c r="E257" s="111">
        <v>-0.41</v>
      </c>
    </row>
    <row r="258" spans="1:5" ht="15" x14ac:dyDescent="0.3">
      <c r="A258" s="627"/>
      <c r="B258" s="107" t="s">
        <v>362</v>
      </c>
      <c r="C258" s="106" t="s">
        <v>106</v>
      </c>
      <c r="D258" s="108" t="s">
        <v>106</v>
      </c>
      <c r="E258" s="109">
        <v>-0.36</v>
      </c>
    </row>
    <row r="259" spans="1:5" ht="15" x14ac:dyDescent="0.3">
      <c r="A259" s="627"/>
      <c r="B259" s="107" t="s">
        <v>363</v>
      </c>
      <c r="C259" s="106" t="s">
        <v>106</v>
      </c>
      <c r="D259" s="110" t="s">
        <v>106</v>
      </c>
      <c r="E259" s="111">
        <v>-0.36</v>
      </c>
    </row>
    <row r="260" spans="1:5" ht="15" x14ac:dyDescent="0.3">
      <c r="A260" s="627"/>
      <c r="B260" s="107" t="s">
        <v>364</v>
      </c>
      <c r="C260" s="106" t="s">
        <v>106</v>
      </c>
      <c r="D260" s="108" t="s">
        <v>106</v>
      </c>
      <c r="E260" s="109">
        <v>-0.37</v>
      </c>
    </row>
    <row r="261" spans="1:5" ht="15" x14ac:dyDescent="0.3">
      <c r="A261" s="627"/>
      <c r="B261" s="107" t="s">
        <v>365</v>
      </c>
      <c r="C261" s="106" t="s">
        <v>106</v>
      </c>
      <c r="D261" s="110" t="s">
        <v>106</v>
      </c>
      <c r="E261" s="111">
        <v>-0.37</v>
      </c>
    </row>
    <row r="262" spans="1:5" ht="15" x14ac:dyDescent="0.3">
      <c r="A262" s="627"/>
      <c r="B262" s="107" t="s">
        <v>366</v>
      </c>
      <c r="C262" s="106" t="s">
        <v>106</v>
      </c>
      <c r="D262" s="108" t="s">
        <v>106</v>
      </c>
      <c r="E262" s="109">
        <v>-0.32</v>
      </c>
    </row>
    <row r="263" spans="1:5" ht="15" x14ac:dyDescent="0.3">
      <c r="A263" s="627"/>
      <c r="B263" s="107" t="s">
        <v>367</v>
      </c>
      <c r="C263" s="106" t="s">
        <v>106</v>
      </c>
      <c r="D263" s="110" t="s">
        <v>106</v>
      </c>
      <c r="E263" s="111">
        <v>-0.33</v>
      </c>
    </row>
    <row r="264" spans="1:5" ht="15" x14ac:dyDescent="0.3">
      <c r="A264" s="627"/>
      <c r="B264" s="107" t="s">
        <v>368</v>
      </c>
      <c r="C264" s="106" t="s">
        <v>106</v>
      </c>
      <c r="D264" s="108" t="s">
        <v>106</v>
      </c>
      <c r="E264" s="109">
        <v>-0.37</v>
      </c>
    </row>
    <row r="265" spans="1:5" ht="15" x14ac:dyDescent="0.3">
      <c r="A265" s="627"/>
      <c r="B265" s="107" t="s">
        <v>369</v>
      </c>
      <c r="C265" s="106" t="s">
        <v>106</v>
      </c>
      <c r="D265" s="110" t="s">
        <v>106</v>
      </c>
      <c r="E265" s="111">
        <v>-0.37</v>
      </c>
    </row>
    <row r="266" spans="1:5" ht="15" x14ac:dyDescent="0.3">
      <c r="A266" s="627"/>
      <c r="B266" s="107" t="s">
        <v>370</v>
      </c>
      <c r="C266" s="106" t="s">
        <v>106</v>
      </c>
      <c r="D266" s="108" t="s">
        <v>106</v>
      </c>
      <c r="E266" s="109">
        <v>-0.36</v>
      </c>
    </row>
    <row r="267" spans="1:5" ht="15" x14ac:dyDescent="0.3">
      <c r="A267" s="627"/>
      <c r="B267" s="107" t="s">
        <v>371</v>
      </c>
      <c r="C267" s="106" t="s">
        <v>106</v>
      </c>
      <c r="D267" s="110" t="s">
        <v>106</v>
      </c>
      <c r="E267" s="111">
        <v>-0.34</v>
      </c>
    </row>
    <row r="268" spans="1:5" ht="15" x14ac:dyDescent="0.3">
      <c r="A268" s="627"/>
      <c r="B268" s="107" t="s">
        <v>372</v>
      </c>
      <c r="C268" s="106" t="s">
        <v>106</v>
      </c>
      <c r="D268" s="108" t="s">
        <v>106</v>
      </c>
      <c r="E268" s="109">
        <v>-0.35</v>
      </c>
    </row>
    <row r="269" spans="1:5" ht="15" x14ac:dyDescent="0.3">
      <c r="A269" s="627"/>
      <c r="B269" s="107" t="s">
        <v>373</v>
      </c>
      <c r="C269" s="106" t="s">
        <v>106</v>
      </c>
      <c r="D269" s="110" t="s">
        <v>106</v>
      </c>
      <c r="E269" s="111">
        <v>-0.35</v>
      </c>
    </row>
    <row r="270" spans="1:5" ht="15" x14ac:dyDescent="0.3">
      <c r="A270" s="627"/>
      <c r="B270" s="107" t="s">
        <v>374</v>
      </c>
      <c r="C270" s="106" t="s">
        <v>106</v>
      </c>
      <c r="D270" s="108" t="s">
        <v>106</v>
      </c>
      <c r="E270" s="109">
        <v>-0.32</v>
      </c>
    </row>
    <row r="271" spans="1:5" ht="15" x14ac:dyDescent="0.3">
      <c r="A271" s="627"/>
      <c r="B271" s="107" t="s">
        <v>375</v>
      </c>
      <c r="C271" s="106" t="s">
        <v>106</v>
      </c>
      <c r="D271" s="110" t="s">
        <v>106</v>
      </c>
      <c r="E271" s="111">
        <v>-0.35</v>
      </c>
    </row>
    <row r="272" spans="1:5" ht="15" x14ac:dyDescent="0.3">
      <c r="A272" s="627"/>
      <c r="B272" s="107" t="s">
        <v>376</v>
      </c>
      <c r="C272" s="106" t="s">
        <v>106</v>
      </c>
      <c r="D272" s="108" t="s">
        <v>106</v>
      </c>
      <c r="E272" s="109">
        <v>-0.36</v>
      </c>
    </row>
    <row r="273" spans="1:5" ht="15" x14ac:dyDescent="0.3">
      <c r="A273" s="627"/>
      <c r="B273" s="107" t="s">
        <v>377</v>
      </c>
      <c r="C273" s="106" t="s">
        <v>106</v>
      </c>
      <c r="D273" s="110" t="s">
        <v>106</v>
      </c>
      <c r="E273" s="111">
        <v>-0.35</v>
      </c>
    </row>
    <row r="274" spans="1:5" ht="15" x14ac:dyDescent="0.3">
      <c r="A274" s="627"/>
      <c r="B274" s="107" t="s">
        <v>378</v>
      </c>
      <c r="C274" s="106" t="s">
        <v>106</v>
      </c>
      <c r="D274" s="108" t="s">
        <v>106</v>
      </c>
      <c r="E274" s="109">
        <v>-0.37</v>
      </c>
    </row>
    <row r="275" spans="1:5" ht="15" x14ac:dyDescent="0.3">
      <c r="A275" s="627"/>
      <c r="B275" s="107" t="s">
        <v>379</v>
      </c>
      <c r="C275" s="106" t="s">
        <v>106</v>
      </c>
      <c r="D275" s="110" t="s">
        <v>106</v>
      </c>
      <c r="E275" s="111">
        <v>-0.33</v>
      </c>
    </row>
    <row r="276" spans="1:5" ht="15" x14ac:dyDescent="0.3">
      <c r="A276" s="627"/>
      <c r="B276" s="107" t="s">
        <v>380</v>
      </c>
      <c r="C276" s="106" t="s">
        <v>106</v>
      </c>
      <c r="D276" s="108" t="s">
        <v>106</v>
      </c>
      <c r="E276" s="109">
        <v>-0.34</v>
      </c>
    </row>
    <row r="277" spans="1:5" ht="15" x14ac:dyDescent="0.3">
      <c r="A277" s="627"/>
      <c r="B277" s="107" t="s">
        <v>381</v>
      </c>
      <c r="C277" s="106" t="s">
        <v>106</v>
      </c>
      <c r="D277" s="110" t="s">
        <v>106</v>
      </c>
      <c r="E277" s="111">
        <v>-0.32</v>
      </c>
    </row>
    <row r="278" spans="1:5" ht="15" x14ac:dyDescent="0.3">
      <c r="A278" s="627"/>
      <c r="B278" s="107" t="s">
        <v>382</v>
      </c>
      <c r="C278" s="106" t="s">
        <v>106</v>
      </c>
      <c r="D278" s="108" t="s">
        <v>106</v>
      </c>
      <c r="E278" s="109">
        <v>-0.3</v>
      </c>
    </row>
    <row r="279" spans="1:5" ht="15" x14ac:dyDescent="0.3">
      <c r="A279" s="627"/>
      <c r="B279" s="107" t="s">
        <v>383</v>
      </c>
      <c r="C279" s="106" t="s">
        <v>106</v>
      </c>
      <c r="D279" s="110" t="s">
        <v>106</v>
      </c>
      <c r="E279" s="111">
        <v>-0.3</v>
      </c>
    </row>
    <row r="280" spans="1:5" ht="15" x14ac:dyDescent="0.3">
      <c r="A280" s="627"/>
      <c r="B280" s="107" t="s">
        <v>384</v>
      </c>
      <c r="C280" s="106" t="s">
        <v>106</v>
      </c>
      <c r="D280" s="108" t="s">
        <v>106</v>
      </c>
      <c r="E280" s="109">
        <v>-0.28999999999999998</v>
      </c>
    </row>
    <row r="281" spans="1:5" ht="15" x14ac:dyDescent="0.3">
      <c r="A281" s="627"/>
      <c r="B281" s="107" t="s">
        <v>385</v>
      </c>
      <c r="C281" s="106" t="s">
        <v>106</v>
      </c>
      <c r="D281" s="110" t="s">
        <v>106</v>
      </c>
      <c r="E281" s="111">
        <v>-0.26</v>
      </c>
    </row>
    <row r="282" spans="1:5" ht="15" x14ac:dyDescent="0.3">
      <c r="A282" s="627"/>
      <c r="B282" s="107" t="s">
        <v>386</v>
      </c>
      <c r="C282" s="106" t="s">
        <v>106</v>
      </c>
      <c r="D282" s="108" t="s">
        <v>106</v>
      </c>
      <c r="E282" s="109">
        <v>-0.28000000000000003</v>
      </c>
    </row>
    <row r="283" spans="1:5" ht="15" x14ac:dyDescent="0.3">
      <c r="A283" s="627"/>
      <c r="B283" s="107" t="s">
        <v>387</v>
      </c>
      <c r="C283" s="106" t="s">
        <v>106</v>
      </c>
      <c r="D283" s="110" t="s">
        <v>106</v>
      </c>
      <c r="E283" s="111">
        <v>-0.27</v>
      </c>
    </row>
    <row r="284" spans="1:5" ht="15" x14ac:dyDescent="0.3">
      <c r="A284" s="627"/>
      <c r="B284" s="107" t="s">
        <v>388</v>
      </c>
      <c r="C284" s="106" t="s">
        <v>106</v>
      </c>
      <c r="D284" s="108" t="s">
        <v>106</v>
      </c>
      <c r="E284" s="109">
        <v>-0.28999999999999998</v>
      </c>
    </row>
    <row r="285" spans="1:5" ht="15" x14ac:dyDescent="0.3">
      <c r="A285" s="627"/>
      <c r="B285" s="107" t="s">
        <v>389</v>
      </c>
      <c r="C285" s="106" t="s">
        <v>106</v>
      </c>
      <c r="D285" s="110" t="s">
        <v>106</v>
      </c>
      <c r="E285" s="111">
        <v>-0.28000000000000003</v>
      </c>
    </row>
    <row r="286" spans="1:5" ht="15" x14ac:dyDescent="0.3">
      <c r="A286" s="627"/>
      <c r="B286" s="107" t="s">
        <v>390</v>
      </c>
      <c r="C286" s="106" t="s">
        <v>106</v>
      </c>
      <c r="D286" s="108" t="s">
        <v>106</v>
      </c>
      <c r="E286" s="109">
        <v>-0.21</v>
      </c>
    </row>
    <row r="287" spans="1:5" ht="15" x14ac:dyDescent="0.3">
      <c r="A287" s="627"/>
      <c r="B287" s="107" t="s">
        <v>391</v>
      </c>
      <c r="C287" s="106" t="s">
        <v>106</v>
      </c>
      <c r="D287" s="110" t="s">
        <v>106</v>
      </c>
      <c r="E287" s="111">
        <v>-0.21</v>
      </c>
    </row>
    <row r="288" spans="1:5" ht="15" x14ac:dyDescent="0.3">
      <c r="A288" s="627"/>
      <c r="B288" s="107" t="s">
        <v>392</v>
      </c>
      <c r="C288" s="106" t="s">
        <v>106</v>
      </c>
      <c r="D288" s="108" t="s">
        <v>106</v>
      </c>
      <c r="E288" s="109">
        <v>-0.16</v>
      </c>
    </row>
    <row r="289" spans="1:5" ht="15" x14ac:dyDescent="0.3">
      <c r="A289" s="627"/>
      <c r="B289" s="107" t="s">
        <v>393</v>
      </c>
      <c r="C289" s="106" t="s">
        <v>106</v>
      </c>
      <c r="D289" s="110" t="s">
        <v>106</v>
      </c>
      <c r="E289" s="111">
        <v>-0.17</v>
      </c>
    </row>
    <row r="290" spans="1:5" ht="15" x14ac:dyDescent="0.3">
      <c r="A290" s="627"/>
      <c r="B290" s="107" t="s">
        <v>394</v>
      </c>
      <c r="C290" s="106" t="s">
        <v>106</v>
      </c>
      <c r="D290" s="108" t="s">
        <v>106</v>
      </c>
      <c r="E290" s="109">
        <v>-0.12</v>
      </c>
    </row>
    <row r="291" spans="1:5" ht="15" x14ac:dyDescent="0.3">
      <c r="A291" s="627"/>
      <c r="B291" s="107" t="s">
        <v>395</v>
      </c>
      <c r="C291" s="106" t="s">
        <v>106</v>
      </c>
      <c r="D291" s="110" t="s">
        <v>106</v>
      </c>
      <c r="E291" s="111">
        <v>-0.11</v>
      </c>
    </row>
    <row r="292" spans="1:5" ht="15" x14ac:dyDescent="0.3">
      <c r="A292" s="627"/>
      <c r="B292" s="107" t="s">
        <v>396</v>
      </c>
      <c r="C292" s="106" t="s">
        <v>106</v>
      </c>
      <c r="D292" s="108" t="s">
        <v>106</v>
      </c>
      <c r="E292" s="109">
        <v>-0.11</v>
      </c>
    </row>
    <row r="293" spans="1:5" ht="15" x14ac:dyDescent="0.3">
      <c r="A293" s="627"/>
      <c r="B293" s="107" t="s">
        <v>397</v>
      </c>
      <c r="C293" s="106" t="s">
        <v>106</v>
      </c>
      <c r="D293" s="110" t="s">
        <v>106</v>
      </c>
      <c r="E293" s="111">
        <v>-0.11</v>
      </c>
    </row>
    <row r="294" spans="1:5" ht="15" x14ac:dyDescent="0.3">
      <c r="A294" s="627"/>
      <c r="B294" s="107" t="s">
        <v>398</v>
      </c>
      <c r="C294" s="106" t="s">
        <v>106</v>
      </c>
      <c r="D294" s="108" t="s">
        <v>106</v>
      </c>
      <c r="E294" s="109">
        <v>-0.06</v>
      </c>
    </row>
    <row r="295" spans="1:5" ht="15" x14ac:dyDescent="0.3">
      <c r="A295" s="627"/>
      <c r="B295" s="107" t="s">
        <v>399</v>
      </c>
      <c r="C295" s="106" t="s">
        <v>106</v>
      </c>
      <c r="D295" s="110" t="s">
        <v>106</v>
      </c>
      <c r="E295" s="111">
        <v>-0.05</v>
      </c>
    </row>
    <row r="296" spans="1:5" ht="15" x14ac:dyDescent="0.3">
      <c r="A296" s="627"/>
      <c r="B296" s="107" t="s">
        <v>400</v>
      </c>
      <c r="C296" s="106" t="s">
        <v>106</v>
      </c>
      <c r="D296" s="108" t="s">
        <v>106</v>
      </c>
      <c r="E296" s="109">
        <v>-0.12</v>
      </c>
    </row>
    <row r="297" spans="1:5" ht="15" x14ac:dyDescent="0.3">
      <c r="A297" s="627"/>
      <c r="B297" s="107" t="s">
        <v>401</v>
      </c>
      <c r="C297" s="106" t="s">
        <v>106</v>
      </c>
      <c r="D297" s="110" t="s">
        <v>106</v>
      </c>
      <c r="E297" s="111">
        <v>-0.14000000000000001</v>
      </c>
    </row>
    <row r="298" spans="1:5" ht="15" x14ac:dyDescent="0.3">
      <c r="A298" s="627"/>
      <c r="B298" s="107" t="s">
        <v>402</v>
      </c>
      <c r="C298" s="106" t="s">
        <v>106</v>
      </c>
      <c r="D298" s="108" t="s">
        <v>106</v>
      </c>
      <c r="E298" s="109">
        <v>-0.14000000000000001</v>
      </c>
    </row>
    <row r="299" spans="1:5" ht="15" x14ac:dyDescent="0.3">
      <c r="A299" s="627"/>
      <c r="B299" s="107" t="s">
        <v>403</v>
      </c>
      <c r="C299" s="106" t="s">
        <v>106</v>
      </c>
      <c r="D299" s="110" t="s">
        <v>106</v>
      </c>
      <c r="E299" s="111">
        <v>-0.12</v>
      </c>
    </row>
    <row r="300" spans="1:5" ht="15" x14ac:dyDescent="0.3">
      <c r="A300" s="627"/>
      <c r="B300" s="107" t="s">
        <v>404</v>
      </c>
      <c r="C300" s="106" t="s">
        <v>106</v>
      </c>
      <c r="D300" s="108" t="s">
        <v>106</v>
      </c>
      <c r="E300" s="109">
        <v>-0.1</v>
      </c>
    </row>
    <row r="301" spans="1:5" ht="15" x14ac:dyDescent="0.3">
      <c r="A301" s="627"/>
      <c r="B301" s="107" t="s">
        <v>405</v>
      </c>
      <c r="C301" s="106" t="s">
        <v>106</v>
      </c>
      <c r="D301" s="110" t="s">
        <v>106</v>
      </c>
      <c r="E301" s="111">
        <v>0</v>
      </c>
    </row>
    <row r="302" spans="1:5" ht="15" x14ac:dyDescent="0.3">
      <c r="A302" s="627"/>
      <c r="B302" s="107" t="s">
        <v>406</v>
      </c>
      <c r="C302" s="106" t="s">
        <v>106</v>
      </c>
      <c r="D302" s="108" t="s">
        <v>106</v>
      </c>
      <c r="E302" s="109">
        <v>-0.02</v>
      </c>
    </row>
    <row r="303" spans="1:5" ht="15" x14ac:dyDescent="0.3">
      <c r="A303" s="627"/>
      <c r="B303" s="107" t="s">
        <v>407</v>
      </c>
      <c r="C303" s="106" t="s">
        <v>106</v>
      </c>
      <c r="D303" s="110" t="s">
        <v>106</v>
      </c>
      <c r="E303" s="111">
        <v>0</v>
      </c>
    </row>
    <row r="304" spans="1:5" ht="15" x14ac:dyDescent="0.3">
      <c r="A304" s="627"/>
      <c r="B304" s="107" t="s">
        <v>408</v>
      </c>
      <c r="C304" s="106" t="s">
        <v>106</v>
      </c>
      <c r="D304" s="108" t="s">
        <v>106</v>
      </c>
      <c r="E304" s="109">
        <v>-0.02</v>
      </c>
    </row>
    <row r="305" spans="1:5" ht="15" x14ac:dyDescent="0.3">
      <c r="A305" s="627"/>
      <c r="B305" s="107" t="s">
        <v>409</v>
      </c>
      <c r="C305" s="106" t="s">
        <v>106</v>
      </c>
      <c r="D305" s="110" t="s">
        <v>106</v>
      </c>
      <c r="E305" s="111">
        <v>-0.01</v>
      </c>
    </row>
    <row r="306" spans="1:5" ht="15" x14ac:dyDescent="0.3">
      <c r="A306" s="627"/>
      <c r="B306" s="107" t="s">
        <v>410</v>
      </c>
      <c r="C306" s="106" t="s">
        <v>106</v>
      </c>
      <c r="D306" s="108" t="s">
        <v>106</v>
      </c>
      <c r="E306" s="109">
        <v>-0.01</v>
      </c>
    </row>
    <row r="307" spans="1:5" ht="15" x14ac:dyDescent="0.3">
      <c r="A307" s="627"/>
      <c r="B307" s="107" t="s">
        <v>411</v>
      </c>
      <c r="C307" s="106" t="s">
        <v>106</v>
      </c>
      <c r="D307" s="110" t="s">
        <v>106</v>
      </c>
      <c r="E307" s="111">
        <v>-0.04</v>
      </c>
    </row>
    <row r="308" spans="1:5" ht="15" x14ac:dyDescent="0.3">
      <c r="A308" s="627"/>
      <c r="B308" s="107" t="s">
        <v>412</v>
      </c>
      <c r="C308" s="106" t="s">
        <v>106</v>
      </c>
      <c r="D308" s="108" t="s">
        <v>106</v>
      </c>
      <c r="E308" s="109">
        <v>-0.01</v>
      </c>
    </row>
    <row r="309" spans="1:5" ht="15" x14ac:dyDescent="0.3">
      <c r="A309" s="627"/>
      <c r="B309" s="107" t="s">
        <v>413</v>
      </c>
      <c r="C309" s="106" t="s">
        <v>106</v>
      </c>
      <c r="D309" s="110" t="s">
        <v>106</v>
      </c>
      <c r="E309" s="111">
        <v>0.04</v>
      </c>
    </row>
    <row r="310" spans="1:5" ht="15" x14ac:dyDescent="0.3">
      <c r="A310" s="627"/>
      <c r="B310" s="107" t="s">
        <v>414</v>
      </c>
      <c r="C310" s="106" t="s">
        <v>106</v>
      </c>
      <c r="D310" s="108" t="s">
        <v>106</v>
      </c>
      <c r="E310" s="109">
        <v>0</v>
      </c>
    </row>
    <row r="311" spans="1:5" ht="15" x14ac:dyDescent="0.3">
      <c r="A311" s="627"/>
      <c r="B311" s="107" t="s">
        <v>415</v>
      </c>
      <c r="C311" s="106" t="s">
        <v>106</v>
      </c>
      <c r="D311" s="110" t="s">
        <v>106</v>
      </c>
      <c r="E311" s="111">
        <v>0</v>
      </c>
    </row>
    <row r="312" spans="1:5" ht="15" x14ac:dyDescent="0.3">
      <c r="A312" s="627"/>
      <c r="B312" s="107" t="s">
        <v>416</v>
      </c>
      <c r="C312" s="106" t="s">
        <v>106</v>
      </c>
      <c r="D312" s="108" t="s">
        <v>106</v>
      </c>
      <c r="E312" s="109">
        <v>-0.02</v>
      </c>
    </row>
    <row r="313" spans="1:5" ht="15" x14ac:dyDescent="0.3">
      <c r="A313" s="627"/>
      <c r="B313" s="107" t="s">
        <v>417</v>
      </c>
      <c r="C313" s="106" t="s">
        <v>106</v>
      </c>
      <c r="D313" s="110" t="s">
        <v>106</v>
      </c>
      <c r="E313" s="111">
        <v>-0.05</v>
      </c>
    </row>
    <row r="314" spans="1:5" ht="15" x14ac:dyDescent="0.3">
      <c r="A314" s="627"/>
      <c r="B314" s="107" t="s">
        <v>418</v>
      </c>
      <c r="C314" s="106" t="s">
        <v>106</v>
      </c>
      <c r="D314" s="108" t="s">
        <v>106</v>
      </c>
      <c r="E314" s="109">
        <v>-0.05</v>
      </c>
    </row>
    <row r="315" spans="1:5" ht="15" x14ac:dyDescent="0.3">
      <c r="A315" s="627"/>
      <c r="B315" s="107" t="s">
        <v>419</v>
      </c>
      <c r="C315" s="106" t="s">
        <v>106</v>
      </c>
      <c r="D315" s="110" t="s">
        <v>106</v>
      </c>
      <c r="E315" s="111">
        <v>-0.05</v>
      </c>
    </row>
    <row r="316" spans="1:5" ht="15" x14ac:dyDescent="0.3">
      <c r="A316" s="627"/>
      <c r="B316" s="107" t="s">
        <v>420</v>
      </c>
      <c r="C316" s="106" t="s">
        <v>106</v>
      </c>
      <c r="D316" s="108" t="s">
        <v>106</v>
      </c>
      <c r="E316" s="109">
        <v>-0.03</v>
      </c>
    </row>
    <row r="317" spans="1:5" ht="15" x14ac:dyDescent="0.3">
      <c r="A317" s="627"/>
      <c r="B317" s="107" t="s">
        <v>421</v>
      </c>
      <c r="C317" s="106" t="s">
        <v>106</v>
      </c>
      <c r="D317" s="110" t="s">
        <v>106</v>
      </c>
      <c r="E317" s="111">
        <v>0.04</v>
      </c>
    </row>
    <row r="318" spans="1:5" ht="15" x14ac:dyDescent="0.3">
      <c r="A318" s="627"/>
      <c r="B318" s="107" t="s">
        <v>422</v>
      </c>
      <c r="C318" s="106" t="s">
        <v>106</v>
      </c>
      <c r="D318" s="108" t="s">
        <v>106</v>
      </c>
      <c r="E318" s="109">
        <v>0.03</v>
      </c>
    </row>
    <row r="319" spans="1:5" ht="15" x14ac:dyDescent="0.3">
      <c r="A319" s="627"/>
      <c r="B319" s="107" t="s">
        <v>423</v>
      </c>
      <c r="C319" s="106" t="s">
        <v>106</v>
      </c>
      <c r="D319" s="110" t="s">
        <v>106</v>
      </c>
      <c r="E319" s="111">
        <v>0</v>
      </c>
    </row>
    <row r="320" spans="1:5" ht="15" x14ac:dyDescent="0.3">
      <c r="A320" s="627"/>
      <c r="B320" s="107" t="s">
        <v>424</v>
      </c>
      <c r="C320" s="106" t="s">
        <v>106</v>
      </c>
      <c r="D320" s="108" t="s">
        <v>106</v>
      </c>
      <c r="E320" s="109">
        <v>0.01</v>
      </c>
    </row>
    <row r="321" spans="1:5" ht="15" x14ac:dyDescent="0.3">
      <c r="A321" s="627"/>
      <c r="B321" s="107" t="s">
        <v>425</v>
      </c>
      <c r="C321" s="106" t="s">
        <v>106</v>
      </c>
      <c r="D321" s="110" t="s">
        <v>106</v>
      </c>
      <c r="E321" s="111">
        <v>-0.01</v>
      </c>
    </row>
    <row r="322" spans="1:5" ht="15" x14ac:dyDescent="0.3">
      <c r="A322" s="627"/>
      <c r="B322" s="107" t="s">
        <v>426</v>
      </c>
      <c r="C322" s="106" t="s">
        <v>106</v>
      </c>
      <c r="D322" s="108" t="s">
        <v>106</v>
      </c>
      <c r="E322" s="109">
        <v>-0.01</v>
      </c>
    </row>
    <row r="323" spans="1:5" ht="15" x14ac:dyDescent="0.3">
      <c r="A323" s="627"/>
      <c r="B323" s="107" t="s">
        <v>427</v>
      </c>
      <c r="C323" s="106" t="s">
        <v>106</v>
      </c>
      <c r="D323" s="110" t="s">
        <v>106</v>
      </c>
      <c r="E323" s="111">
        <v>0.01</v>
      </c>
    </row>
    <row r="324" spans="1:5" ht="15" x14ac:dyDescent="0.3">
      <c r="A324" s="627"/>
      <c r="B324" s="107" t="s">
        <v>428</v>
      </c>
      <c r="C324" s="106" t="s">
        <v>106</v>
      </c>
      <c r="D324" s="108" t="s">
        <v>106</v>
      </c>
      <c r="E324" s="109">
        <v>0</v>
      </c>
    </row>
    <row r="325" spans="1:5" ht="15" x14ac:dyDescent="0.3">
      <c r="A325" s="627"/>
      <c r="B325" s="107" t="s">
        <v>429</v>
      </c>
      <c r="C325" s="106" t="s">
        <v>106</v>
      </c>
      <c r="D325" s="110" t="s">
        <v>106</v>
      </c>
      <c r="E325" s="111">
        <v>0.05</v>
      </c>
    </row>
    <row r="326" spans="1:5" ht="15" x14ac:dyDescent="0.3">
      <c r="A326" s="627"/>
      <c r="B326" s="107" t="s">
        <v>430</v>
      </c>
      <c r="C326" s="106" t="s">
        <v>106</v>
      </c>
      <c r="D326" s="108" t="s">
        <v>106</v>
      </c>
      <c r="E326" s="109">
        <v>0.03</v>
      </c>
    </row>
    <row r="327" spans="1:5" ht="15" x14ac:dyDescent="0.3">
      <c r="A327" s="627"/>
      <c r="B327" s="107" t="s">
        <v>431</v>
      </c>
      <c r="C327" s="106" t="s">
        <v>106</v>
      </c>
      <c r="D327" s="110" t="s">
        <v>106</v>
      </c>
      <c r="E327" s="111">
        <v>0.05</v>
      </c>
    </row>
    <row r="328" spans="1:5" ht="15" x14ac:dyDescent="0.3">
      <c r="A328" s="627"/>
      <c r="B328" s="107" t="s">
        <v>432</v>
      </c>
      <c r="C328" s="106" t="s">
        <v>106</v>
      </c>
      <c r="D328" s="108" t="s">
        <v>106</v>
      </c>
      <c r="E328" s="109">
        <v>0.05</v>
      </c>
    </row>
    <row r="329" spans="1:5" ht="15" x14ac:dyDescent="0.3">
      <c r="A329" s="627"/>
      <c r="B329" s="107" t="s">
        <v>433</v>
      </c>
      <c r="C329" s="106" t="s">
        <v>106</v>
      </c>
      <c r="D329" s="110" t="s">
        <v>106</v>
      </c>
      <c r="E329" s="111">
        <v>0.04</v>
      </c>
    </row>
    <row r="330" spans="1:5" ht="15" x14ac:dyDescent="0.3">
      <c r="A330" s="627"/>
      <c r="B330" s="107" t="s">
        <v>434</v>
      </c>
      <c r="C330" s="106" t="s">
        <v>106</v>
      </c>
      <c r="D330" s="108" t="s">
        <v>106</v>
      </c>
      <c r="E330" s="109">
        <v>0.08</v>
      </c>
    </row>
    <row r="331" spans="1:5" ht="15" x14ac:dyDescent="0.3">
      <c r="A331" s="627"/>
      <c r="B331" s="107" t="s">
        <v>435</v>
      </c>
      <c r="C331" s="106" t="s">
        <v>106</v>
      </c>
      <c r="D331" s="110" t="s">
        <v>106</v>
      </c>
      <c r="E331" s="111">
        <v>0.06</v>
      </c>
    </row>
    <row r="332" spans="1:5" ht="15" x14ac:dyDescent="0.3">
      <c r="A332" s="627"/>
      <c r="B332" s="107" t="s">
        <v>436</v>
      </c>
      <c r="C332" s="106" t="s">
        <v>106</v>
      </c>
      <c r="D332" s="108" t="s">
        <v>106</v>
      </c>
      <c r="E332" s="109">
        <v>0.04</v>
      </c>
    </row>
    <row r="333" spans="1:5" ht="15" x14ac:dyDescent="0.3">
      <c r="A333" s="627"/>
      <c r="B333" s="107" t="s">
        <v>437</v>
      </c>
      <c r="C333" s="106" t="s">
        <v>106</v>
      </c>
      <c r="D333" s="110" t="s">
        <v>106</v>
      </c>
      <c r="E333" s="111">
        <v>0.04</v>
      </c>
    </row>
    <row r="334" spans="1:5" ht="15" x14ac:dyDescent="0.3">
      <c r="A334" s="627"/>
      <c r="B334" s="107" t="s">
        <v>438</v>
      </c>
      <c r="C334" s="106" t="s">
        <v>106</v>
      </c>
      <c r="D334" s="108" t="s">
        <v>106</v>
      </c>
      <c r="E334" s="109">
        <v>0.05</v>
      </c>
    </row>
    <row r="335" spans="1:5" ht="15" x14ac:dyDescent="0.3">
      <c r="A335" s="627"/>
      <c r="B335" s="107" t="s">
        <v>439</v>
      </c>
      <c r="C335" s="106" t="s">
        <v>106</v>
      </c>
      <c r="D335" s="110" t="s">
        <v>106</v>
      </c>
      <c r="E335" s="111">
        <v>0.06</v>
      </c>
    </row>
    <row r="336" spans="1:5" ht="15" x14ac:dyDescent="0.3">
      <c r="A336" s="627"/>
      <c r="B336" s="107" t="s">
        <v>440</v>
      </c>
      <c r="C336" s="106" t="s">
        <v>106</v>
      </c>
      <c r="D336" s="108" t="s">
        <v>106</v>
      </c>
      <c r="E336" s="109">
        <v>0.09</v>
      </c>
    </row>
    <row r="337" spans="1:5" ht="15" x14ac:dyDescent="0.3">
      <c r="A337" s="627"/>
      <c r="B337" s="107" t="s">
        <v>441</v>
      </c>
      <c r="C337" s="106" t="s">
        <v>106</v>
      </c>
      <c r="D337" s="110" t="s">
        <v>106</v>
      </c>
      <c r="E337" s="111">
        <v>0.1</v>
      </c>
    </row>
    <row r="338" spans="1:5" ht="15" x14ac:dyDescent="0.3">
      <c r="A338" s="627"/>
      <c r="B338" s="107" t="s">
        <v>442</v>
      </c>
      <c r="C338" s="106" t="s">
        <v>106</v>
      </c>
      <c r="D338" s="108" t="s">
        <v>106</v>
      </c>
      <c r="E338" s="109">
        <v>0.13</v>
      </c>
    </row>
    <row r="339" spans="1:5" ht="15" x14ac:dyDescent="0.3">
      <c r="A339" s="627"/>
      <c r="B339" s="107" t="s">
        <v>443</v>
      </c>
      <c r="C339" s="106" t="s">
        <v>106</v>
      </c>
      <c r="D339" s="110" t="s">
        <v>106</v>
      </c>
      <c r="E339" s="111">
        <v>0.17</v>
      </c>
    </row>
    <row r="340" spans="1:5" ht="15" x14ac:dyDescent="0.3">
      <c r="A340" s="627"/>
      <c r="B340" s="107" t="s">
        <v>444</v>
      </c>
      <c r="C340" s="106" t="s">
        <v>106</v>
      </c>
      <c r="D340" s="108" t="s">
        <v>106</v>
      </c>
      <c r="E340" s="109">
        <v>0.13</v>
      </c>
    </row>
    <row r="341" spans="1:5" ht="15" x14ac:dyDescent="0.3">
      <c r="A341" s="627"/>
      <c r="B341" s="107" t="s">
        <v>445</v>
      </c>
      <c r="C341" s="106" t="s">
        <v>106</v>
      </c>
      <c r="D341" s="110" t="s">
        <v>106</v>
      </c>
      <c r="E341" s="111">
        <v>0.12</v>
      </c>
    </row>
    <row r="342" spans="1:5" ht="15" x14ac:dyDescent="0.3">
      <c r="A342" s="627"/>
      <c r="B342" s="107" t="s">
        <v>446</v>
      </c>
      <c r="C342" s="106" t="s">
        <v>106</v>
      </c>
      <c r="D342" s="108" t="s">
        <v>106</v>
      </c>
      <c r="E342" s="109">
        <v>0.1</v>
      </c>
    </row>
    <row r="343" spans="1:5" ht="15" x14ac:dyDescent="0.3">
      <c r="A343" s="627"/>
      <c r="B343" s="107" t="s">
        <v>447</v>
      </c>
      <c r="C343" s="106" t="s">
        <v>106</v>
      </c>
      <c r="D343" s="110" t="s">
        <v>106</v>
      </c>
      <c r="E343" s="111">
        <v>0.14000000000000001</v>
      </c>
    </row>
    <row r="344" spans="1:5" ht="15" x14ac:dyDescent="0.3">
      <c r="A344" s="627"/>
      <c r="B344" s="107" t="s">
        <v>448</v>
      </c>
      <c r="C344" s="106" t="s">
        <v>106</v>
      </c>
      <c r="D344" s="108" t="s">
        <v>106</v>
      </c>
      <c r="E344" s="109">
        <v>0.15</v>
      </c>
    </row>
    <row r="345" spans="1:5" ht="15" x14ac:dyDescent="0.3">
      <c r="A345" s="627"/>
      <c r="B345" s="107" t="s">
        <v>449</v>
      </c>
      <c r="C345" s="106" t="s">
        <v>106</v>
      </c>
      <c r="D345" s="110" t="s">
        <v>106</v>
      </c>
      <c r="E345" s="111">
        <v>0.18</v>
      </c>
    </row>
    <row r="346" spans="1:5" ht="15" x14ac:dyDescent="0.3">
      <c r="A346" s="627"/>
      <c r="B346" s="107" t="s">
        <v>450</v>
      </c>
      <c r="C346" s="106" t="s">
        <v>106</v>
      </c>
      <c r="D346" s="108" t="s">
        <v>106</v>
      </c>
      <c r="E346" s="109">
        <v>0.18</v>
      </c>
    </row>
    <row r="347" spans="1:5" ht="15" x14ac:dyDescent="0.3">
      <c r="A347" s="627"/>
      <c r="B347" s="107" t="s">
        <v>451</v>
      </c>
      <c r="C347" s="106" t="s">
        <v>106</v>
      </c>
      <c r="D347" s="110" t="s">
        <v>106</v>
      </c>
      <c r="E347" s="111">
        <v>0.24</v>
      </c>
    </row>
    <row r="348" spans="1:5" ht="15" x14ac:dyDescent="0.3">
      <c r="A348" s="627"/>
      <c r="B348" s="107" t="s">
        <v>452</v>
      </c>
      <c r="C348" s="106" t="s">
        <v>106</v>
      </c>
      <c r="D348" s="108" t="s">
        <v>106</v>
      </c>
      <c r="E348" s="109">
        <v>0.26</v>
      </c>
    </row>
    <row r="349" spans="1:5" ht="15" x14ac:dyDescent="0.3">
      <c r="A349" s="627"/>
      <c r="B349" s="107" t="s">
        <v>453</v>
      </c>
      <c r="C349" s="106" t="s">
        <v>106</v>
      </c>
      <c r="D349" s="110" t="s">
        <v>106</v>
      </c>
      <c r="E349" s="111">
        <v>0.28999999999999998</v>
      </c>
    </row>
    <row r="350" spans="1:5" ht="15" x14ac:dyDescent="0.3">
      <c r="A350" s="627"/>
      <c r="B350" s="107" t="s">
        <v>454</v>
      </c>
      <c r="C350" s="106" t="s">
        <v>106</v>
      </c>
      <c r="D350" s="108" t="s">
        <v>106</v>
      </c>
      <c r="E350" s="109">
        <v>0.27</v>
      </c>
    </row>
    <row r="351" spans="1:5" ht="15" x14ac:dyDescent="0.3">
      <c r="A351" s="627"/>
      <c r="B351" s="107" t="s">
        <v>455</v>
      </c>
      <c r="C351" s="106" t="s">
        <v>106</v>
      </c>
      <c r="D351" s="110" t="s">
        <v>106</v>
      </c>
      <c r="E351" s="111">
        <v>0.22</v>
      </c>
    </row>
    <row r="352" spans="1:5" ht="15" x14ac:dyDescent="0.3">
      <c r="A352" s="627"/>
      <c r="B352" s="107" t="s">
        <v>456</v>
      </c>
      <c r="C352" s="106" t="s">
        <v>106</v>
      </c>
      <c r="D352" s="108" t="s">
        <v>106</v>
      </c>
      <c r="E352" s="109">
        <v>0.19</v>
      </c>
    </row>
    <row r="353" spans="1:5" ht="15" x14ac:dyDescent="0.3">
      <c r="A353" s="627"/>
      <c r="B353" s="107" t="s">
        <v>457</v>
      </c>
      <c r="C353" s="106" t="s">
        <v>106</v>
      </c>
      <c r="D353" s="110" t="s">
        <v>106</v>
      </c>
      <c r="E353" s="111">
        <v>0.14000000000000001</v>
      </c>
    </row>
    <row r="354" spans="1:5" ht="15" x14ac:dyDescent="0.3">
      <c r="A354" s="627"/>
      <c r="B354" s="107" t="s">
        <v>458</v>
      </c>
      <c r="C354" s="106" t="s">
        <v>106</v>
      </c>
      <c r="D354" s="108" t="s">
        <v>106</v>
      </c>
      <c r="E354" s="109">
        <v>0.13</v>
      </c>
    </row>
    <row r="355" spans="1:5" ht="15" x14ac:dyDescent="0.3">
      <c r="A355" s="627"/>
      <c r="B355" s="107" t="s">
        <v>459</v>
      </c>
      <c r="C355" s="106" t="s">
        <v>106</v>
      </c>
      <c r="D355" s="110" t="s">
        <v>106</v>
      </c>
      <c r="E355" s="111">
        <v>0.16</v>
      </c>
    </row>
    <row r="356" spans="1:5" ht="15" x14ac:dyDescent="0.3">
      <c r="A356" s="627"/>
      <c r="B356" s="107" t="s">
        <v>460</v>
      </c>
      <c r="C356" s="106" t="s">
        <v>106</v>
      </c>
      <c r="D356" s="108" t="s">
        <v>106</v>
      </c>
      <c r="E356" s="109">
        <v>0.16</v>
      </c>
    </row>
    <row r="357" spans="1:5" ht="15" x14ac:dyDescent="0.3">
      <c r="A357" s="627"/>
      <c r="B357" s="107" t="s">
        <v>461</v>
      </c>
      <c r="C357" s="106" t="s">
        <v>106</v>
      </c>
      <c r="D357" s="110" t="s">
        <v>106</v>
      </c>
      <c r="E357" s="111">
        <v>0.13</v>
      </c>
    </row>
    <row r="358" spans="1:5" ht="15" x14ac:dyDescent="0.3">
      <c r="A358" s="627"/>
      <c r="B358" s="107" t="s">
        <v>462</v>
      </c>
      <c r="C358" s="106" t="s">
        <v>106</v>
      </c>
      <c r="D358" s="108" t="s">
        <v>106</v>
      </c>
      <c r="E358" s="109">
        <v>0.14000000000000001</v>
      </c>
    </row>
    <row r="359" spans="1:5" ht="15" x14ac:dyDescent="0.3">
      <c r="A359" s="627"/>
      <c r="B359" s="107" t="s">
        <v>463</v>
      </c>
      <c r="C359" s="106" t="s">
        <v>106</v>
      </c>
      <c r="D359" s="110" t="s">
        <v>106</v>
      </c>
      <c r="E359" s="111">
        <v>0.14000000000000001</v>
      </c>
    </row>
    <row r="360" spans="1:5" ht="15" x14ac:dyDescent="0.3">
      <c r="A360" s="627"/>
      <c r="B360" s="107" t="s">
        <v>464</v>
      </c>
      <c r="C360" s="106" t="s">
        <v>106</v>
      </c>
      <c r="D360" s="108" t="s">
        <v>106</v>
      </c>
      <c r="E360" s="109">
        <v>0.15</v>
      </c>
    </row>
    <row r="361" spans="1:5" ht="15" x14ac:dyDescent="0.3">
      <c r="A361" s="627"/>
      <c r="B361" s="107" t="s">
        <v>465</v>
      </c>
      <c r="C361" s="106" t="s">
        <v>106</v>
      </c>
      <c r="D361" s="110" t="s">
        <v>106</v>
      </c>
      <c r="E361" s="111">
        <v>0.14000000000000001</v>
      </c>
    </row>
    <row r="362" spans="1:5" ht="15" x14ac:dyDescent="0.3">
      <c r="A362" s="627"/>
      <c r="B362" s="107" t="s">
        <v>466</v>
      </c>
      <c r="C362" s="106" t="s">
        <v>106</v>
      </c>
      <c r="D362" s="108" t="s">
        <v>106</v>
      </c>
      <c r="E362" s="109">
        <v>0.14000000000000001</v>
      </c>
    </row>
    <row r="363" spans="1:5" ht="15" x14ac:dyDescent="0.3">
      <c r="A363" s="627"/>
      <c r="B363" s="107" t="s">
        <v>467</v>
      </c>
      <c r="C363" s="106" t="s">
        <v>106</v>
      </c>
      <c r="D363" s="110" t="s">
        <v>106</v>
      </c>
      <c r="E363" s="111">
        <v>0.1</v>
      </c>
    </row>
    <row r="364" spans="1:5" ht="15" x14ac:dyDescent="0.3">
      <c r="A364" s="627"/>
      <c r="B364" s="107" t="s">
        <v>468</v>
      </c>
      <c r="C364" s="106" t="s">
        <v>106</v>
      </c>
      <c r="D364" s="108" t="s">
        <v>106</v>
      </c>
      <c r="E364" s="109">
        <v>0.1</v>
      </c>
    </row>
    <row r="365" spans="1:5" ht="15" x14ac:dyDescent="0.3">
      <c r="A365" s="627"/>
      <c r="B365" s="107" t="s">
        <v>469</v>
      </c>
      <c r="C365" s="106" t="s">
        <v>106</v>
      </c>
      <c r="D365" s="110" t="s">
        <v>106</v>
      </c>
      <c r="E365" s="111">
        <v>0.05</v>
      </c>
    </row>
    <row r="366" spans="1:5" ht="15" x14ac:dyDescent="0.3">
      <c r="A366" s="627"/>
      <c r="B366" s="107" t="s">
        <v>470</v>
      </c>
      <c r="C366" s="106" t="s">
        <v>106</v>
      </c>
      <c r="D366" s="108" t="s">
        <v>106</v>
      </c>
      <c r="E366" s="109">
        <v>7.0000000000000007E-2</v>
      </c>
    </row>
    <row r="367" spans="1:5" ht="15" x14ac:dyDescent="0.3">
      <c r="A367" s="627"/>
      <c r="B367" s="107" t="s">
        <v>471</v>
      </c>
      <c r="C367" s="106" t="s">
        <v>106</v>
      </c>
      <c r="D367" s="110" t="s">
        <v>106</v>
      </c>
      <c r="E367" s="111">
        <v>0.08</v>
      </c>
    </row>
    <row r="368" spans="1:5" ht="15" x14ac:dyDescent="0.3">
      <c r="A368" s="627"/>
      <c r="B368" s="107" t="s">
        <v>472</v>
      </c>
      <c r="C368" s="106" t="s">
        <v>106</v>
      </c>
      <c r="D368" s="108" t="s">
        <v>106</v>
      </c>
      <c r="E368" s="109">
        <v>0.11</v>
      </c>
    </row>
    <row r="369" spans="1:5" ht="15" x14ac:dyDescent="0.3">
      <c r="A369" s="627"/>
      <c r="B369" s="107" t="s">
        <v>473</v>
      </c>
      <c r="C369" s="106" t="s">
        <v>106</v>
      </c>
      <c r="D369" s="110" t="s">
        <v>106</v>
      </c>
      <c r="E369" s="111">
        <v>0.14000000000000001</v>
      </c>
    </row>
    <row r="370" spans="1:5" ht="15" x14ac:dyDescent="0.3">
      <c r="A370" s="627"/>
      <c r="B370" s="107" t="s">
        <v>474</v>
      </c>
      <c r="C370" s="106" t="s">
        <v>106</v>
      </c>
      <c r="D370" s="108" t="s">
        <v>106</v>
      </c>
      <c r="E370" s="109">
        <v>0.12</v>
      </c>
    </row>
    <row r="371" spans="1:5" ht="15" x14ac:dyDescent="0.3">
      <c r="A371" s="627"/>
      <c r="B371" s="107" t="s">
        <v>475</v>
      </c>
      <c r="C371" s="106" t="s">
        <v>106</v>
      </c>
      <c r="D371" s="110" t="s">
        <v>106</v>
      </c>
      <c r="E371" s="111">
        <v>0.12</v>
      </c>
    </row>
    <row r="372" spans="1:5" ht="15" x14ac:dyDescent="0.3">
      <c r="A372" s="627"/>
      <c r="B372" s="107" t="s">
        <v>476</v>
      </c>
      <c r="C372" s="106" t="s">
        <v>106</v>
      </c>
      <c r="D372" s="108" t="s">
        <v>106</v>
      </c>
      <c r="E372" s="109">
        <v>0.15</v>
      </c>
    </row>
    <row r="373" spans="1:5" ht="15" x14ac:dyDescent="0.3">
      <c r="A373" s="627"/>
      <c r="B373" s="107" t="s">
        <v>477</v>
      </c>
      <c r="C373" s="106" t="s">
        <v>106</v>
      </c>
      <c r="D373" s="110" t="s">
        <v>106</v>
      </c>
      <c r="E373" s="111">
        <v>0.14000000000000001</v>
      </c>
    </row>
    <row r="374" spans="1:5" ht="15" x14ac:dyDescent="0.3">
      <c r="A374" s="627"/>
      <c r="B374" s="107" t="s">
        <v>478</v>
      </c>
      <c r="C374" s="106" t="s">
        <v>106</v>
      </c>
      <c r="D374" s="108" t="s">
        <v>106</v>
      </c>
      <c r="E374" s="109">
        <v>0.13</v>
      </c>
    </row>
    <row r="375" spans="1:5" ht="15" x14ac:dyDescent="0.3">
      <c r="A375" s="627"/>
      <c r="B375" s="107" t="s">
        <v>479</v>
      </c>
      <c r="C375" s="106" t="s">
        <v>106</v>
      </c>
      <c r="D375" s="110" t="s">
        <v>106</v>
      </c>
      <c r="E375" s="111">
        <v>0.13</v>
      </c>
    </row>
    <row r="376" spans="1:5" ht="15" x14ac:dyDescent="0.3">
      <c r="A376" s="627"/>
      <c r="B376" s="107" t="s">
        <v>480</v>
      </c>
      <c r="C376" s="106" t="s">
        <v>106</v>
      </c>
      <c r="D376" s="108" t="s">
        <v>106</v>
      </c>
      <c r="E376" s="109">
        <v>0.15</v>
      </c>
    </row>
    <row r="377" spans="1:5" ht="15" x14ac:dyDescent="0.3">
      <c r="A377" s="627"/>
      <c r="B377" s="107" t="s">
        <v>481</v>
      </c>
      <c r="C377" s="106" t="s">
        <v>106</v>
      </c>
      <c r="D377" s="110" t="s">
        <v>106</v>
      </c>
      <c r="E377" s="111">
        <v>0.13</v>
      </c>
    </row>
    <row r="378" spans="1:5" ht="15" x14ac:dyDescent="0.3">
      <c r="A378" s="627"/>
      <c r="B378" s="107" t="s">
        <v>482</v>
      </c>
      <c r="C378" s="106" t="s">
        <v>106</v>
      </c>
      <c r="D378" s="108" t="s">
        <v>106</v>
      </c>
      <c r="E378" s="109">
        <v>0.12</v>
      </c>
    </row>
    <row r="379" spans="1:5" ht="15" x14ac:dyDescent="0.3">
      <c r="A379" s="627"/>
      <c r="B379" s="107" t="s">
        <v>483</v>
      </c>
      <c r="C379" s="106" t="s">
        <v>106</v>
      </c>
      <c r="D379" s="110" t="s">
        <v>106</v>
      </c>
      <c r="E379" s="111">
        <v>0.11</v>
      </c>
    </row>
    <row r="380" spans="1:5" ht="15" x14ac:dyDescent="0.3">
      <c r="A380" s="627"/>
      <c r="B380" s="107" t="s">
        <v>484</v>
      </c>
      <c r="C380" s="106" t="s">
        <v>106</v>
      </c>
      <c r="D380" s="108" t="s">
        <v>106</v>
      </c>
      <c r="E380" s="109">
        <v>0.08</v>
      </c>
    </row>
    <row r="381" spans="1:5" ht="15" x14ac:dyDescent="0.3">
      <c r="A381" s="627"/>
      <c r="B381" s="107" t="s">
        <v>485</v>
      </c>
      <c r="C381" s="106" t="s">
        <v>106</v>
      </c>
      <c r="D381" s="110" t="s">
        <v>106</v>
      </c>
      <c r="E381" s="111">
        <v>0.08</v>
      </c>
    </row>
    <row r="382" spans="1:5" ht="15" x14ac:dyDescent="0.3">
      <c r="A382" s="627"/>
      <c r="B382" s="107" t="s">
        <v>486</v>
      </c>
      <c r="C382" s="106" t="s">
        <v>106</v>
      </c>
      <c r="D382" s="108" t="s">
        <v>106</v>
      </c>
      <c r="E382" s="109">
        <v>0.08</v>
      </c>
    </row>
    <row r="383" spans="1:5" ht="15" x14ac:dyDescent="0.3">
      <c r="A383" s="627"/>
      <c r="B383" s="107" t="s">
        <v>487</v>
      </c>
      <c r="C383" s="106" t="s">
        <v>106</v>
      </c>
      <c r="D383" s="110" t="s">
        <v>106</v>
      </c>
      <c r="E383" s="111">
        <v>0.02</v>
      </c>
    </row>
    <row r="384" spans="1:5" ht="15" x14ac:dyDescent="0.3">
      <c r="A384" s="627"/>
      <c r="B384" s="107" t="s">
        <v>488</v>
      </c>
      <c r="C384" s="106" t="s">
        <v>106</v>
      </c>
      <c r="D384" s="108" t="s">
        <v>106</v>
      </c>
      <c r="E384" s="109">
        <v>-0.03</v>
      </c>
    </row>
    <row r="385" spans="1:5" ht="15" x14ac:dyDescent="0.3">
      <c r="A385" s="627"/>
      <c r="B385" s="107" t="s">
        <v>489</v>
      </c>
      <c r="C385" s="106" t="s">
        <v>106</v>
      </c>
      <c r="D385" s="110" t="s">
        <v>106</v>
      </c>
      <c r="E385" s="111">
        <v>0</v>
      </c>
    </row>
    <row r="386" spans="1:5" ht="15" x14ac:dyDescent="0.3">
      <c r="A386" s="627"/>
      <c r="B386" s="107" t="s">
        <v>490</v>
      </c>
      <c r="C386" s="106" t="s">
        <v>106</v>
      </c>
      <c r="D386" s="108" t="s">
        <v>106</v>
      </c>
      <c r="E386" s="109">
        <v>0</v>
      </c>
    </row>
    <row r="387" spans="1:5" ht="15" x14ac:dyDescent="0.3">
      <c r="A387" s="627"/>
      <c r="B387" s="107" t="s">
        <v>491</v>
      </c>
      <c r="C387" s="106" t="s">
        <v>106</v>
      </c>
      <c r="D387" s="110" t="s">
        <v>106</v>
      </c>
      <c r="E387" s="111">
        <v>0.01</v>
      </c>
    </row>
    <row r="388" spans="1:5" ht="15" x14ac:dyDescent="0.3">
      <c r="A388" s="627"/>
      <c r="B388" s="107" t="s">
        <v>492</v>
      </c>
      <c r="C388" s="106" t="s">
        <v>106</v>
      </c>
      <c r="D388" s="108" t="s">
        <v>106</v>
      </c>
      <c r="E388" s="109">
        <v>0.01</v>
      </c>
    </row>
    <row r="389" spans="1:5" ht="15" x14ac:dyDescent="0.3">
      <c r="A389" s="627"/>
      <c r="B389" s="107" t="s">
        <v>493</v>
      </c>
      <c r="C389" s="106" t="s">
        <v>106</v>
      </c>
      <c r="D389" s="110" t="s">
        <v>106</v>
      </c>
      <c r="E389" s="111">
        <v>-0.03</v>
      </c>
    </row>
    <row r="390" spans="1:5" ht="15" x14ac:dyDescent="0.3">
      <c r="A390" s="627"/>
      <c r="B390" s="107" t="s">
        <v>494</v>
      </c>
      <c r="C390" s="106" t="s">
        <v>106</v>
      </c>
      <c r="D390" s="108" t="s">
        <v>106</v>
      </c>
      <c r="E390" s="109">
        <v>-0.03</v>
      </c>
    </row>
    <row r="391" spans="1:5" ht="15" x14ac:dyDescent="0.3">
      <c r="A391" s="627"/>
      <c r="B391" s="107" t="s">
        <v>495</v>
      </c>
      <c r="C391" s="106" t="s">
        <v>106</v>
      </c>
      <c r="D391" s="110" t="s">
        <v>106</v>
      </c>
      <c r="E391" s="111">
        <v>-0.06</v>
      </c>
    </row>
    <row r="392" spans="1:5" ht="15" x14ac:dyDescent="0.3">
      <c r="A392" s="627"/>
      <c r="B392" s="107" t="s">
        <v>496</v>
      </c>
      <c r="C392" s="106" t="s">
        <v>106</v>
      </c>
      <c r="D392" s="108" t="s">
        <v>106</v>
      </c>
      <c r="E392" s="109">
        <v>-0.09</v>
      </c>
    </row>
    <row r="393" spans="1:5" ht="15" x14ac:dyDescent="0.3">
      <c r="A393" s="627"/>
      <c r="B393" s="107" t="s">
        <v>497</v>
      </c>
      <c r="C393" s="106" t="s">
        <v>106</v>
      </c>
      <c r="D393" s="110" t="s">
        <v>106</v>
      </c>
      <c r="E393" s="111">
        <v>-7.0000000000000007E-2</v>
      </c>
    </row>
    <row r="394" spans="1:5" ht="15" x14ac:dyDescent="0.3">
      <c r="A394" s="627"/>
      <c r="B394" s="107" t="s">
        <v>498</v>
      </c>
      <c r="C394" s="106" t="s">
        <v>106</v>
      </c>
      <c r="D394" s="108" t="s">
        <v>106</v>
      </c>
      <c r="E394" s="109">
        <v>-0.09</v>
      </c>
    </row>
    <row r="395" spans="1:5" ht="15" x14ac:dyDescent="0.3">
      <c r="A395" s="627"/>
      <c r="B395" s="107" t="s">
        <v>499</v>
      </c>
      <c r="C395" s="106" t="s">
        <v>106</v>
      </c>
      <c r="D395" s="110" t="s">
        <v>106</v>
      </c>
      <c r="E395" s="111">
        <v>-0.12</v>
      </c>
    </row>
    <row r="396" spans="1:5" ht="15" x14ac:dyDescent="0.3">
      <c r="A396" s="627"/>
      <c r="B396" s="107" t="s">
        <v>500</v>
      </c>
      <c r="C396" s="106" t="s">
        <v>106</v>
      </c>
      <c r="D396" s="108" t="s">
        <v>106</v>
      </c>
      <c r="E396" s="109">
        <v>-0.12</v>
      </c>
    </row>
    <row r="397" spans="1:5" ht="15" x14ac:dyDescent="0.3">
      <c r="A397" s="627"/>
      <c r="B397" s="107" t="s">
        <v>501</v>
      </c>
      <c r="C397" s="106" t="s">
        <v>106</v>
      </c>
      <c r="D397" s="110" t="s">
        <v>106</v>
      </c>
      <c r="E397" s="111">
        <v>-0.11</v>
      </c>
    </row>
    <row r="398" spans="1:5" ht="15" x14ac:dyDescent="0.3">
      <c r="A398" s="627"/>
      <c r="B398" s="107" t="s">
        <v>502</v>
      </c>
      <c r="C398" s="106" t="s">
        <v>106</v>
      </c>
      <c r="D398" s="108" t="s">
        <v>106</v>
      </c>
      <c r="E398" s="109">
        <v>-0.11</v>
      </c>
    </row>
    <row r="399" spans="1:5" ht="15" x14ac:dyDescent="0.3">
      <c r="A399" s="627"/>
      <c r="B399" s="107" t="s">
        <v>503</v>
      </c>
      <c r="C399" s="106" t="s">
        <v>106</v>
      </c>
      <c r="D399" s="110" t="s">
        <v>106</v>
      </c>
      <c r="E399" s="111">
        <v>-0.11</v>
      </c>
    </row>
    <row r="400" spans="1:5" ht="15" x14ac:dyDescent="0.3">
      <c r="A400" s="627"/>
      <c r="B400" s="107" t="s">
        <v>504</v>
      </c>
      <c r="C400" s="106" t="s">
        <v>106</v>
      </c>
      <c r="D400" s="108" t="s">
        <v>106</v>
      </c>
      <c r="E400" s="109">
        <v>-0.11</v>
      </c>
    </row>
    <row r="401" spans="1:5" ht="15" x14ac:dyDescent="0.3">
      <c r="A401" s="627"/>
      <c r="B401" s="107" t="s">
        <v>505</v>
      </c>
      <c r="C401" s="106" t="s">
        <v>106</v>
      </c>
      <c r="D401" s="110" t="s">
        <v>106</v>
      </c>
      <c r="E401" s="111">
        <v>-0.13</v>
      </c>
    </row>
    <row r="402" spans="1:5" ht="15" x14ac:dyDescent="0.3">
      <c r="A402" s="627"/>
      <c r="B402" s="107" t="s">
        <v>506</v>
      </c>
      <c r="C402" s="106" t="s">
        <v>106</v>
      </c>
      <c r="D402" s="108" t="s">
        <v>106</v>
      </c>
      <c r="E402" s="109">
        <v>-0.15</v>
      </c>
    </row>
    <row r="403" spans="1:5" ht="15" x14ac:dyDescent="0.3">
      <c r="A403" s="627"/>
      <c r="B403" s="107" t="s">
        <v>507</v>
      </c>
      <c r="C403" s="106" t="s">
        <v>106</v>
      </c>
      <c r="D403" s="110" t="s">
        <v>106</v>
      </c>
      <c r="E403" s="111">
        <v>-0.17</v>
      </c>
    </row>
    <row r="404" spans="1:5" ht="15" x14ac:dyDescent="0.3">
      <c r="A404" s="627"/>
      <c r="B404" s="107" t="s">
        <v>508</v>
      </c>
      <c r="C404" s="106" t="s">
        <v>106</v>
      </c>
      <c r="D404" s="108" t="s">
        <v>106</v>
      </c>
      <c r="E404" s="109">
        <v>-0.17</v>
      </c>
    </row>
    <row r="405" spans="1:5" ht="15" x14ac:dyDescent="0.3">
      <c r="A405" s="627"/>
      <c r="B405" s="107" t="s">
        <v>509</v>
      </c>
      <c r="C405" s="106" t="s">
        <v>106</v>
      </c>
      <c r="D405" s="110" t="s">
        <v>106</v>
      </c>
      <c r="E405" s="111">
        <v>-0.14000000000000001</v>
      </c>
    </row>
    <row r="406" spans="1:5" ht="15" x14ac:dyDescent="0.3">
      <c r="A406" s="627"/>
      <c r="B406" s="107" t="s">
        <v>510</v>
      </c>
      <c r="C406" s="106" t="s">
        <v>106</v>
      </c>
      <c r="D406" s="108" t="s">
        <v>106</v>
      </c>
      <c r="E406" s="109">
        <v>-0.14000000000000001</v>
      </c>
    </row>
    <row r="407" spans="1:5" ht="15" x14ac:dyDescent="0.3">
      <c r="A407" s="627"/>
      <c r="B407" s="107" t="s">
        <v>511</v>
      </c>
      <c r="C407" s="106" t="s">
        <v>106</v>
      </c>
      <c r="D407" s="110" t="s">
        <v>106</v>
      </c>
      <c r="E407" s="111">
        <v>-0.12</v>
      </c>
    </row>
    <row r="408" spans="1:5" ht="15" x14ac:dyDescent="0.3">
      <c r="A408" s="627"/>
      <c r="B408" s="107" t="s">
        <v>512</v>
      </c>
      <c r="C408" s="106" t="s">
        <v>106</v>
      </c>
      <c r="D408" s="108" t="s">
        <v>106</v>
      </c>
      <c r="E408" s="109">
        <v>-0.14000000000000001</v>
      </c>
    </row>
    <row r="409" spans="1:5" ht="15" x14ac:dyDescent="0.3">
      <c r="A409" s="627"/>
      <c r="B409" s="107" t="s">
        <v>513</v>
      </c>
      <c r="C409" s="106" t="s">
        <v>106</v>
      </c>
      <c r="D409" s="110" t="s">
        <v>106</v>
      </c>
      <c r="E409" s="111">
        <v>-0.14000000000000001</v>
      </c>
    </row>
    <row r="410" spans="1:5" ht="15" x14ac:dyDescent="0.3">
      <c r="A410" s="627"/>
      <c r="B410" s="107" t="s">
        <v>514</v>
      </c>
      <c r="C410" s="106" t="s">
        <v>106</v>
      </c>
      <c r="D410" s="108" t="s">
        <v>106</v>
      </c>
      <c r="E410" s="109">
        <v>-0.14000000000000001</v>
      </c>
    </row>
    <row r="411" spans="1:5" ht="15" x14ac:dyDescent="0.3">
      <c r="A411" s="627"/>
      <c r="B411" s="107" t="s">
        <v>515</v>
      </c>
      <c r="C411" s="106" t="s">
        <v>106</v>
      </c>
      <c r="D411" s="110" t="s">
        <v>106</v>
      </c>
      <c r="E411" s="111">
        <v>-0.16</v>
      </c>
    </row>
    <row r="412" spans="1:5" ht="15" x14ac:dyDescent="0.3">
      <c r="A412" s="627"/>
      <c r="B412" s="107" t="s">
        <v>516</v>
      </c>
      <c r="C412" s="106" t="s">
        <v>106</v>
      </c>
      <c r="D412" s="108" t="s">
        <v>106</v>
      </c>
      <c r="E412" s="109">
        <v>-0.15</v>
      </c>
    </row>
    <row r="413" spans="1:5" ht="15" x14ac:dyDescent="0.3">
      <c r="A413" s="627"/>
      <c r="B413" s="107" t="s">
        <v>517</v>
      </c>
      <c r="C413" s="106" t="s">
        <v>106</v>
      </c>
      <c r="D413" s="110" t="s">
        <v>106</v>
      </c>
      <c r="E413" s="111">
        <v>-0.16</v>
      </c>
    </row>
    <row r="414" spans="1:5" ht="15" x14ac:dyDescent="0.3">
      <c r="A414" s="627"/>
      <c r="B414" s="107" t="s">
        <v>518</v>
      </c>
      <c r="C414" s="106" t="s">
        <v>106</v>
      </c>
      <c r="D414" s="108" t="s">
        <v>106</v>
      </c>
      <c r="E414" s="109">
        <v>-0.16</v>
      </c>
    </row>
    <row r="415" spans="1:5" ht="15" x14ac:dyDescent="0.3">
      <c r="A415" s="627"/>
      <c r="B415" s="107" t="s">
        <v>519</v>
      </c>
      <c r="C415" s="106" t="s">
        <v>106</v>
      </c>
      <c r="D415" s="110" t="s">
        <v>106</v>
      </c>
      <c r="E415" s="111">
        <v>-0.15</v>
      </c>
    </row>
    <row r="416" spans="1:5" ht="15" x14ac:dyDescent="0.3">
      <c r="A416" s="627"/>
      <c r="B416" s="107" t="s">
        <v>520</v>
      </c>
      <c r="C416" s="106" t="s">
        <v>106</v>
      </c>
      <c r="D416" s="108" t="s">
        <v>106</v>
      </c>
      <c r="E416" s="109">
        <v>-0.16</v>
      </c>
    </row>
    <row r="417" spans="1:5" ht="15" x14ac:dyDescent="0.3">
      <c r="A417" s="627"/>
      <c r="B417" s="107" t="s">
        <v>521</v>
      </c>
      <c r="C417" s="106" t="s">
        <v>106</v>
      </c>
      <c r="D417" s="110" t="s">
        <v>106</v>
      </c>
      <c r="E417" s="111">
        <v>-0.14000000000000001</v>
      </c>
    </row>
    <row r="418" spans="1:5" ht="15" x14ac:dyDescent="0.3">
      <c r="A418" s="627"/>
      <c r="B418" s="107" t="s">
        <v>522</v>
      </c>
      <c r="C418" s="106" t="s">
        <v>106</v>
      </c>
      <c r="D418" s="108" t="s">
        <v>106</v>
      </c>
      <c r="E418" s="109">
        <v>-0.08</v>
      </c>
    </row>
    <row r="419" spans="1:5" ht="15" x14ac:dyDescent="0.3">
      <c r="A419" s="627"/>
      <c r="B419" s="107" t="s">
        <v>523</v>
      </c>
      <c r="C419" s="106" t="s">
        <v>106</v>
      </c>
      <c r="D419" s="110" t="s">
        <v>106</v>
      </c>
      <c r="E419" s="111">
        <v>-7.0000000000000007E-2</v>
      </c>
    </row>
    <row r="420" spans="1:5" ht="15" x14ac:dyDescent="0.3">
      <c r="A420" s="627"/>
      <c r="B420" s="107" t="s">
        <v>524</v>
      </c>
      <c r="C420" s="106" t="s">
        <v>106</v>
      </c>
      <c r="D420" s="108" t="s">
        <v>106</v>
      </c>
      <c r="E420" s="109">
        <v>-0.09</v>
      </c>
    </row>
    <row r="421" spans="1:5" ht="15" x14ac:dyDescent="0.3">
      <c r="A421" s="627"/>
      <c r="B421" s="107" t="s">
        <v>525</v>
      </c>
      <c r="C421" s="106" t="s">
        <v>106</v>
      </c>
      <c r="D421" s="110" t="s">
        <v>106</v>
      </c>
      <c r="E421" s="111">
        <v>-0.1</v>
      </c>
    </row>
    <row r="422" spans="1:5" ht="15" x14ac:dyDescent="0.3">
      <c r="A422" s="627"/>
      <c r="B422" s="107" t="s">
        <v>526</v>
      </c>
      <c r="C422" s="106" t="s">
        <v>106</v>
      </c>
      <c r="D422" s="108" t="s">
        <v>106</v>
      </c>
      <c r="E422" s="109">
        <v>-0.04</v>
      </c>
    </row>
    <row r="423" spans="1:5" ht="15" x14ac:dyDescent="0.3">
      <c r="A423" s="627"/>
      <c r="B423" s="107" t="s">
        <v>527</v>
      </c>
      <c r="C423" s="106" t="s">
        <v>106</v>
      </c>
      <c r="D423" s="110" t="s">
        <v>106</v>
      </c>
      <c r="E423" s="111">
        <v>-0.06</v>
      </c>
    </row>
    <row r="424" spans="1:5" ht="15" x14ac:dyDescent="0.3">
      <c r="A424" s="627"/>
      <c r="B424" s="107" t="s">
        <v>528</v>
      </c>
      <c r="C424" s="106" t="s">
        <v>106</v>
      </c>
      <c r="D424" s="108" t="s">
        <v>106</v>
      </c>
      <c r="E424" s="109">
        <v>-0.06</v>
      </c>
    </row>
    <row r="425" spans="1:5" ht="15" x14ac:dyDescent="0.3">
      <c r="A425" s="627"/>
      <c r="B425" s="107" t="s">
        <v>529</v>
      </c>
      <c r="C425" s="106" t="s">
        <v>106</v>
      </c>
      <c r="D425" s="110" t="s">
        <v>106</v>
      </c>
      <c r="E425" s="111">
        <v>-0.04</v>
      </c>
    </row>
    <row r="426" spans="1:5" ht="15" x14ac:dyDescent="0.3">
      <c r="A426" s="627"/>
      <c r="B426" s="107" t="s">
        <v>530</v>
      </c>
      <c r="C426" s="106" t="s">
        <v>106</v>
      </c>
      <c r="D426" s="108" t="s">
        <v>106</v>
      </c>
      <c r="E426" s="109">
        <v>-0.02</v>
      </c>
    </row>
    <row r="427" spans="1:5" ht="15" x14ac:dyDescent="0.3">
      <c r="A427" s="627"/>
      <c r="B427" s="107" t="s">
        <v>531</v>
      </c>
      <c r="C427" s="106" t="s">
        <v>106</v>
      </c>
      <c r="D427" s="110" t="s">
        <v>106</v>
      </c>
      <c r="E427" s="111">
        <v>-0.02</v>
      </c>
    </row>
    <row r="428" spans="1:5" ht="15" x14ac:dyDescent="0.3">
      <c r="A428" s="627"/>
      <c r="B428" s="107" t="s">
        <v>532</v>
      </c>
      <c r="C428" s="106" t="s">
        <v>106</v>
      </c>
      <c r="D428" s="108" t="s">
        <v>106</v>
      </c>
      <c r="E428" s="109">
        <v>-0.01</v>
      </c>
    </row>
    <row r="429" spans="1:5" ht="15" x14ac:dyDescent="0.3">
      <c r="A429" s="627"/>
      <c r="B429" s="107" t="s">
        <v>533</v>
      </c>
      <c r="C429" s="106" t="s">
        <v>106</v>
      </c>
      <c r="D429" s="110" t="s">
        <v>106</v>
      </c>
      <c r="E429" s="111">
        <v>-0.04</v>
      </c>
    </row>
    <row r="430" spans="1:5" ht="15" x14ac:dyDescent="0.3">
      <c r="A430" s="627"/>
      <c r="B430" s="107" t="s">
        <v>534</v>
      </c>
      <c r="C430" s="106" t="s">
        <v>106</v>
      </c>
      <c r="D430" s="108" t="s">
        <v>106</v>
      </c>
      <c r="E430" s="109">
        <v>-0.02</v>
      </c>
    </row>
    <row r="431" spans="1:5" ht="15" x14ac:dyDescent="0.3">
      <c r="A431" s="627"/>
      <c r="B431" s="107" t="s">
        <v>535</v>
      </c>
      <c r="C431" s="106" t="s">
        <v>106</v>
      </c>
      <c r="D431" s="110" t="s">
        <v>106</v>
      </c>
      <c r="E431" s="111">
        <v>-0.01</v>
      </c>
    </row>
    <row r="432" spans="1:5" ht="15" x14ac:dyDescent="0.3">
      <c r="A432" s="627"/>
      <c r="B432" s="107" t="s">
        <v>536</v>
      </c>
      <c r="C432" s="106" t="s">
        <v>106</v>
      </c>
      <c r="D432" s="108" t="s">
        <v>106</v>
      </c>
      <c r="E432" s="109">
        <v>-0.03</v>
      </c>
    </row>
    <row r="433" spans="1:5" ht="15" x14ac:dyDescent="0.3">
      <c r="A433" s="627"/>
      <c r="B433" s="107" t="s">
        <v>537</v>
      </c>
      <c r="C433" s="106" t="s">
        <v>106</v>
      </c>
      <c r="D433" s="110" t="s">
        <v>106</v>
      </c>
      <c r="E433" s="111">
        <v>0.01</v>
      </c>
    </row>
    <row r="434" spans="1:5" ht="15" x14ac:dyDescent="0.3">
      <c r="A434" s="627"/>
      <c r="B434" s="107" t="s">
        <v>538</v>
      </c>
      <c r="C434" s="106" t="s">
        <v>106</v>
      </c>
      <c r="D434" s="108" t="s">
        <v>106</v>
      </c>
      <c r="E434" s="109">
        <v>0.02</v>
      </c>
    </row>
    <row r="435" spans="1:5" ht="15" x14ac:dyDescent="0.3">
      <c r="A435" s="627"/>
      <c r="B435" s="107" t="s">
        <v>539</v>
      </c>
      <c r="C435" s="106" t="s">
        <v>106</v>
      </c>
      <c r="D435" s="110" t="s">
        <v>106</v>
      </c>
      <c r="E435" s="111">
        <v>0</v>
      </c>
    </row>
    <row r="436" spans="1:5" ht="15" x14ac:dyDescent="0.3">
      <c r="A436" s="627"/>
      <c r="B436" s="107" t="s">
        <v>540</v>
      </c>
      <c r="C436" s="106" t="s">
        <v>106</v>
      </c>
      <c r="D436" s="108" t="s">
        <v>106</v>
      </c>
      <c r="E436" s="109">
        <v>0</v>
      </c>
    </row>
    <row r="437" spans="1:5" ht="15" x14ac:dyDescent="0.3">
      <c r="A437" s="627"/>
      <c r="B437" s="107" t="s">
        <v>541</v>
      </c>
      <c r="C437" s="106" t="s">
        <v>106</v>
      </c>
      <c r="D437" s="110" t="s">
        <v>106</v>
      </c>
      <c r="E437" s="111">
        <v>-0.01</v>
      </c>
    </row>
    <row r="438" spans="1:5" ht="15" x14ac:dyDescent="0.3">
      <c r="A438" s="627"/>
      <c r="B438" s="107" t="s">
        <v>542</v>
      </c>
      <c r="C438" s="106" t="s">
        <v>106</v>
      </c>
      <c r="D438" s="108" t="s">
        <v>106</v>
      </c>
      <c r="E438" s="109">
        <v>0</v>
      </c>
    </row>
    <row r="439" spans="1:5" ht="15" x14ac:dyDescent="0.3">
      <c r="A439" s="627"/>
      <c r="B439" s="107" t="s">
        <v>543</v>
      </c>
      <c r="C439" s="106" t="s">
        <v>106</v>
      </c>
      <c r="D439" s="110" t="s">
        <v>106</v>
      </c>
      <c r="E439" s="111">
        <v>0.08</v>
      </c>
    </row>
    <row r="440" spans="1:5" ht="15" x14ac:dyDescent="0.3">
      <c r="A440" s="627"/>
      <c r="B440" s="107" t="s">
        <v>544</v>
      </c>
      <c r="C440" s="106" t="s">
        <v>106</v>
      </c>
      <c r="D440" s="108" t="s">
        <v>106</v>
      </c>
      <c r="E440" s="109">
        <v>0.1</v>
      </c>
    </row>
    <row r="441" spans="1:5" ht="15" x14ac:dyDescent="0.3">
      <c r="A441" s="627"/>
      <c r="B441" s="107" t="s">
        <v>545</v>
      </c>
      <c r="C441" s="106" t="s">
        <v>106</v>
      </c>
      <c r="D441" s="110" t="s">
        <v>106</v>
      </c>
      <c r="E441" s="111">
        <v>0.12</v>
      </c>
    </row>
    <row r="442" spans="1:5" ht="15" x14ac:dyDescent="0.3">
      <c r="A442" s="627"/>
      <c r="B442" s="107" t="s">
        <v>546</v>
      </c>
      <c r="C442" s="106" t="s">
        <v>106</v>
      </c>
      <c r="D442" s="108" t="s">
        <v>106</v>
      </c>
      <c r="E442" s="109">
        <v>0.1</v>
      </c>
    </row>
    <row r="443" spans="1:5" ht="15" x14ac:dyDescent="0.3">
      <c r="A443" s="627"/>
      <c r="B443" s="107" t="s">
        <v>547</v>
      </c>
      <c r="C443" s="106" t="s">
        <v>106</v>
      </c>
      <c r="D443" s="110" t="s">
        <v>106</v>
      </c>
      <c r="E443" s="111">
        <v>0.1</v>
      </c>
    </row>
    <row r="444" spans="1:5" ht="15" x14ac:dyDescent="0.3">
      <c r="A444" s="627"/>
      <c r="B444" s="107" t="s">
        <v>548</v>
      </c>
      <c r="C444" s="106" t="s">
        <v>106</v>
      </c>
      <c r="D444" s="108" t="s">
        <v>106</v>
      </c>
      <c r="E444" s="109">
        <v>0.1</v>
      </c>
    </row>
    <row r="445" spans="1:5" ht="15" x14ac:dyDescent="0.3">
      <c r="A445" s="627"/>
      <c r="B445" s="107" t="s">
        <v>549</v>
      </c>
      <c r="C445" s="106" t="s">
        <v>106</v>
      </c>
      <c r="D445" s="110" t="s">
        <v>106</v>
      </c>
      <c r="E445" s="111">
        <v>0.11</v>
      </c>
    </row>
    <row r="446" spans="1:5" ht="15" x14ac:dyDescent="0.3">
      <c r="A446" s="627"/>
      <c r="B446" s="107" t="s">
        <v>550</v>
      </c>
      <c r="C446" s="106" t="s">
        <v>106</v>
      </c>
      <c r="D446" s="108" t="s">
        <v>106</v>
      </c>
      <c r="E446" s="109">
        <v>0.09</v>
      </c>
    </row>
    <row r="447" spans="1:5" ht="15" x14ac:dyDescent="0.3">
      <c r="A447" s="627"/>
      <c r="B447" s="107" t="s">
        <v>551</v>
      </c>
      <c r="C447" s="106" t="s">
        <v>106</v>
      </c>
      <c r="D447" s="110" t="s">
        <v>106</v>
      </c>
      <c r="E447" s="111">
        <v>0.15</v>
      </c>
    </row>
    <row r="448" spans="1:5" ht="15" x14ac:dyDescent="0.3">
      <c r="A448" s="627"/>
      <c r="B448" s="107" t="s">
        <v>552</v>
      </c>
      <c r="C448" s="106" t="s">
        <v>106</v>
      </c>
      <c r="D448" s="108" t="s">
        <v>106</v>
      </c>
      <c r="E448" s="109">
        <v>0.13</v>
      </c>
    </row>
    <row r="449" spans="1:5" ht="15" x14ac:dyDescent="0.3">
      <c r="A449" s="627"/>
      <c r="B449" s="107" t="s">
        <v>553</v>
      </c>
      <c r="C449" s="106" t="s">
        <v>106</v>
      </c>
      <c r="D449" s="110" t="s">
        <v>106</v>
      </c>
      <c r="E449" s="111">
        <v>0.16</v>
      </c>
    </row>
    <row r="450" spans="1:5" ht="15" x14ac:dyDescent="0.3">
      <c r="A450" s="627"/>
      <c r="B450" s="107" t="s">
        <v>554</v>
      </c>
      <c r="C450" s="106" t="s">
        <v>106</v>
      </c>
      <c r="D450" s="108" t="s">
        <v>106</v>
      </c>
      <c r="E450" s="109">
        <v>0.17</v>
      </c>
    </row>
    <row r="451" spans="1:5" ht="15" x14ac:dyDescent="0.3">
      <c r="A451" s="627"/>
      <c r="B451" s="107" t="s">
        <v>555</v>
      </c>
      <c r="C451" s="106" t="s">
        <v>106</v>
      </c>
      <c r="D451" s="110" t="s">
        <v>106</v>
      </c>
      <c r="E451" s="111">
        <v>0.18</v>
      </c>
    </row>
    <row r="452" spans="1:5" ht="15" x14ac:dyDescent="0.3">
      <c r="A452" s="627"/>
      <c r="B452" s="107" t="s">
        <v>556</v>
      </c>
      <c r="C452" s="106" t="s">
        <v>106</v>
      </c>
      <c r="D452" s="108" t="s">
        <v>106</v>
      </c>
      <c r="E452" s="109">
        <v>0.18</v>
      </c>
    </row>
    <row r="453" spans="1:5" ht="15" x14ac:dyDescent="0.3">
      <c r="A453" s="627"/>
      <c r="B453" s="107" t="s">
        <v>557</v>
      </c>
      <c r="C453" s="106" t="s">
        <v>106</v>
      </c>
      <c r="D453" s="110" t="s">
        <v>106</v>
      </c>
      <c r="E453" s="111">
        <v>0.16</v>
      </c>
    </row>
    <row r="454" spans="1:5" ht="15" x14ac:dyDescent="0.3">
      <c r="A454" s="627"/>
      <c r="B454" s="107" t="s">
        <v>558</v>
      </c>
      <c r="C454" s="106" t="s">
        <v>106</v>
      </c>
      <c r="D454" s="108" t="s">
        <v>106</v>
      </c>
      <c r="E454" s="109">
        <v>0.13</v>
      </c>
    </row>
    <row r="455" spans="1:5" ht="15" x14ac:dyDescent="0.3">
      <c r="A455" s="627"/>
      <c r="B455" s="107" t="s">
        <v>559</v>
      </c>
      <c r="C455" s="106" t="s">
        <v>106</v>
      </c>
      <c r="D455" s="110" t="s">
        <v>106</v>
      </c>
      <c r="E455" s="111">
        <v>0.17</v>
      </c>
    </row>
    <row r="456" spans="1:5" ht="15" x14ac:dyDescent="0.3">
      <c r="A456" s="627"/>
      <c r="B456" s="107" t="s">
        <v>560</v>
      </c>
      <c r="C456" s="106" t="s">
        <v>106</v>
      </c>
      <c r="D456" s="108" t="s">
        <v>106</v>
      </c>
      <c r="E456" s="109">
        <v>0.16</v>
      </c>
    </row>
    <row r="457" spans="1:5" ht="15" x14ac:dyDescent="0.3">
      <c r="A457" s="627"/>
      <c r="B457" s="107" t="s">
        <v>561</v>
      </c>
      <c r="C457" s="106" t="s">
        <v>106</v>
      </c>
      <c r="D457" s="110" t="s">
        <v>106</v>
      </c>
      <c r="E457" s="111">
        <v>0.18</v>
      </c>
    </row>
    <row r="458" spans="1:5" ht="15" x14ac:dyDescent="0.3">
      <c r="A458" s="627"/>
      <c r="B458" s="107" t="s">
        <v>562</v>
      </c>
      <c r="C458" s="106" t="s">
        <v>106</v>
      </c>
      <c r="D458" s="108" t="s">
        <v>106</v>
      </c>
      <c r="E458" s="109">
        <v>0.18</v>
      </c>
    </row>
    <row r="459" spans="1:5" ht="15" x14ac:dyDescent="0.3">
      <c r="A459" s="627"/>
      <c r="B459" s="107" t="s">
        <v>563</v>
      </c>
      <c r="C459" s="106" t="s">
        <v>106</v>
      </c>
      <c r="D459" s="110" t="s">
        <v>106</v>
      </c>
      <c r="E459" s="111">
        <v>0.23</v>
      </c>
    </row>
    <row r="460" spans="1:5" ht="15" x14ac:dyDescent="0.3">
      <c r="A460" s="627"/>
      <c r="B460" s="107" t="s">
        <v>564</v>
      </c>
      <c r="C460" s="106" t="s">
        <v>106</v>
      </c>
      <c r="D460" s="108" t="s">
        <v>106</v>
      </c>
      <c r="E460" s="109">
        <v>0.21</v>
      </c>
    </row>
    <row r="461" spans="1:5" ht="15" x14ac:dyDescent="0.3">
      <c r="A461" s="627"/>
      <c r="B461" s="107" t="s">
        <v>565</v>
      </c>
      <c r="C461" s="106" t="s">
        <v>106</v>
      </c>
      <c r="D461" s="110" t="s">
        <v>106</v>
      </c>
      <c r="E461" s="111">
        <v>0.17</v>
      </c>
    </row>
    <row r="462" spans="1:5" ht="15" x14ac:dyDescent="0.3">
      <c r="A462" s="627"/>
      <c r="B462" s="107" t="s">
        <v>566</v>
      </c>
      <c r="C462" s="106" t="s">
        <v>106</v>
      </c>
      <c r="D462" s="108" t="s">
        <v>106</v>
      </c>
      <c r="E462" s="109">
        <v>0.16</v>
      </c>
    </row>
    <row r="463" spans="1:5" ht="15" x14ac:dyDescent="0.3">
      <c r="A463" s="627"/>
      <c r="B463" s="107" t="s">
        <v>567</v>
      </c>
      <c r="C463" s="106" t="s">
        <v>106</v>
      </c>
      <c r="D463" s="110" t="s">
        <v>106</v>
      </c>
      <c r="E463" s="111">
        <v>0.15</v>
      </c>
    </row>
    <row r="464" spans="1:5" ht="15" x14ac:dyDescent="0.3">
      <c r="A464" s="627"/>
      <c r="B464" s="107" t="s">
        <v>568</v>
      </c>
      <c r="C464" s="106" t="s">
        <v>106</v>
      </c>
      <c r="D464" s="108" t="s">
        <v>106</v>
      </c>
      <c r="E464" s="109">
        <v>0.23</v>
      </c>
    </row>
    <row r="465" spans="1:5" ht="15" x14ac:dyDescent="0.3">
      <c r="A465" s="627"/>
      <c r="B465" s="107" t="s">
        <v>569</v>
      </c>
      <c r="C465" s="106" t="s">
        <v>106</v>
      </c>
      <c r="D465" s="110" t="s">
        <v>106</v>
      </c>
      <c r="E465" s="111">
        <v>0.18</v>
      </c>
    </row>
    <row r="466" spans="1:5" ht="15" x14ac:dyDescent="0.3">
      <c r="A466" s="627"/>
      <c r="B466" s="107" t="s">
        <v>570</v>
      </c>
      <c r="C466" s="106" t="s">
        <v>106</v>
      </c>
      <c r="D466" s="108" t="s">
        <v>106</v>
      </c>
      <c r="E466" s="109">
        <v>0.12</v>
      </c>
    </row>
    <row r="467" spans="1:5" ht="15" x14ac:dyDescent="0.3">
      <c r="A467" s="627"/>
      <c r="B467" s="107" t="s">
        <v>571</v>
      </c>
      <c r="C467" s="106" t="s">
        <v>106</v>
      </c>
      <c r="D467" s="110" t="s">
        <v>106</v>
      </c>
      <c r="E467" s="111">
        <v>0.13</v>
      </c>
    </row>
    <row r="468" spans="1:5" ht="15" x14ac:dyDescent="0.3">
      <c r="A468" s="627"/>
      <c r="B468" s="107" t="s">
        <v>572</v>
      </c>
      <c r="C468" s="106" t="s">
        <v>106</v>
      </c>
      <c r="D468" s="108" t="s">
        <v>106</v>
      </c>
      <c r="E468" s="109">
        <v>7.0000000000000007E-2</v>
      </c>
    </row>
    <row r="469" spans="1:5" ht="15" x14ac:dyDescent="0.3">
      <c r="A469" s="627"/>
      <c r="B469" s="107" t="s">
        <v>573</v>
      </c>
      <c r="C469" s="106" t="s">
        <v>106</v>
      </c>
      <c r="D469" s="110" t="s">
        <v>106</v>
      </c>
      <c r="E469" s="111">
        <v>0.04</v>
      </c>
    </row>
    <row r="470" spans="1:5" ht="15" x14ac:dyDescent="0.3">
      <c r="A470" s="627"/>
      <c r="B470" s="107" t="s">
        <v>574</v>
      </c>
      <c r="C470" s="106" t="s">
        <v>106</v>
      </c>
      <c r="D470" s="108" t="s">
        <v>106</v>
      </c>
      <c r="E470" s="109">
        <v>0.05</v>
      </c>
    </row>
    <row r="471" spans="1:5" ht="15" x14ac:dyDescent="0.3">
      <c r="A471" s="627"/>
      <c r="B471" s="107" t="s">
        <v>575</v>
      </c>
      <c r="C471" s="106" t="s">
        <v>106</v>
      </c>
      <c r="D471" s="110" t="s">
        <v>106</v>
      </c>
      <c r="E471" s="111">
        <v>0.04</v>
      </c>
    </row>
    <row r="472" spans="1:5" ht="15" x14ac:dyDescent="0.3">
      <c r="A472" s="627"/>
      <c r="B472" s="107" t="s">
        <v>576</v>
      </c>
      <c r="C472" s="106" t="s">
        <v>106</v>
      </c>
      <c r="D472" s="108" t="s">
        <v>106</v>
      </c>
      <c r="E472" s="109">
        <v>0.09</v>
      </c>
    </row>
    <row r="473" spans="1:5" ht="15" x14ac:dyDescent="0.3">
      <c r="A473" s="627"/>
      <c r="B473" s="107" t="s">
        <v>577</v>
      </c>
      <c r="C473" s="106" t="s">
        <v>106</v>
      </c>
      <c r="D473" s="110" t="s">
        <v>106</v>
      </c>
      <c r="E473" s="111">
        <v>0.04</v>
      </c>
    </row>
    <row r="474" spans="1:5" ht="15" x14ac:dyDescent="0.3">
      <c r="A474" s="627"/>
      <c r="B474" s="107" t="s">
        <v>578</v>
      </c>
      <c r="C474" s="106" t="s">
        <v>106</v>
      </c>
      <c r="D474" s="108" t="s">
        <v>106</v>
      </c>
      <c r="E474" s="109">
        <v>0.09</v>
      </c>
    </row>
    <row r="475" spans="1:5" ht="15" x14ac:dyDescent="0.3">
      <c r="A475" s="627"/>
      <c r="B475" s="107" t="s">
        <v>579</v>
      </c>
      <c r="C475" s="106" t="s">
        <v>106</v>
      </c>
      <c r="D475" s="110" t="s">
        <v>106</v>
      </c>
      <c r="E475" s="111">
        <v>0.08</v>
      </c>
    </row>
    <row r="476" spans="1:5" ht="15" x14ac:dyDescent="0.3">
      <c r="A476" s="627"/>
      <c r="B476" s="107" t="s">
        <v>580</v>
      </c>
      <c r="C476" s="106" t="s">
        <v>106</v>
      </c>
      <c r="D476" s="108" t="s">
        <v>106</v>
      </c>
      <c r="E476" s="109">
        <v>0.08</v>
      </c>
    </row>
    <row r="477" spans="1:5" ht="15" x14ac:dyDescent="0.3">
      <c r="A477" s="627"/>
      <c r="B477" s="107" t="s">
        <v>581</v>
      </c>
      <c r="C477" s="106" t="s">
        <v>106</v>
      </c>
      <c r="D477" s="110" t="s">
        <v>106</v>
      </c>
      <c r="E477" s="111">
        <v>0.02</v>
      </c>
    </row>
    <row r="478" spans="1:5" ht="15" x14ac:dyDescent="0.3">
      <c r="A478" s="627"/>
      <c r="B478" s="107" t="s">
        <v>582</v>
      </c>
      <c r="C478" s="106" t="s">
        <v>106</v>
      </c>
      <c r="D478" s="108" t="s">
        <v>106</v>
      </c>
      <c r="E478" s="109">
        <v>0</v>
      </c>
    </row>
    <row r="479" spans="1:5" ht="15" x14ac:dyDescent="0.3">
      <c r="A479" s="627"/>
      <c r="B479" s="107" t="s">
        <v>583</v>
      </c>
      <c r="C479" s="106" t="s">
        <v>106</v>
      </c>
      <c r="D479" s="110" t="s">
        <v>106</v>
      </c>
      <c r="E479" s="111">
        <v>0.08</v>
      </c>
    </row>
    <row r="480" spans="1:5" ht="15" x14ac:dyDescent="0.3">
      <c r="A480" s="627"/>
      <c r="B480" s="107" t="s">
        <v>584</v>
      </c>
      <c r="C480" s="106" t="s">
        <v>106</v>
      </c>
      <c r="D480" s="108" t="s">
        <v>106</v>
      </c>
      <c r="E480" s="109">
        <v>0.11</v>
      </c>
    </row>
    <row r="481" spans="1:5" ht="15" x14ac:dyDescent="0.3">
      <c r="A481" s="627"/>
      <c r="B481" s="107" t="s">
        <v>585</v>
      </c>
      <c r="C481" s="106" t="s">
        <v>106</v>
      </c>
      <c r="D481" s="110" t="s">
        <v>106</v>
      </c>
      <c r="E481" s="111">
        <v>0.1</v>
      </c>
    </row>
    <row r="482" spans="1:5" ht="15" x14ac:dyDescent="0.3">
      <c r="A482" s="627"/>
      <c r="B482" s="107" t="s">
        <v>586</v>
      </c>
      <c r="C482" s="106" t="s">
        <v>106</v>
      </c>
      <c r="D482" s="108" t="s">
        <v>106</v>
      </c>
      <c r="E482" s="109">
        <v>0.03</v>
      </c>
    </row>
    <row r="483" spans="1:5" ht="15" x14ac:dyDescent="0.3">
      <c r="A483" s="627"/>
      <c r="B483" s="107" t="s">
        <v>587</v>
      </c>
      <c r="C483" s="106" t="s">
        <v>106</v>
      </c>
      <c r="D483" s="110" t="s">
        <v>106</v>
      </c>
      <c r="E483" s="111">
        <v>0.04</v>
      </c>
    </row>
    <row r="484" spans="1:5" ht="15" x14ac:dyDescent="0.3">
      <c r="A484" s="627"/>
      <c r="B484" s="107" t="s">
        <v>588</v>
      </c>
      <c r="C484" s="106" t="s">
        <v>106</v>
      </c>
      <c r="D484" s="108" t="s">
        <v>106</v>
      </c>
      <c r="E484" s="109">
        <v>0.01</v>
      </c>
    </row>
    <row r="485" spans="1:5" ht="15" x14ac:dyDescent="0.3">
      <c r="A485" s="627"/>
      <c r="B485" s="107" t="s">
        <v>589</v>
      </c>
      <c r="C485" s="106" t="s">
        <v>106</v>
      </c>
      <c r="D485" s="110" t="s">
        <v>106</v>
      </c>
      <c r="E485" s="111">
        <v>0.03</v>
      </c>
    </row>
    <row r="486" spans="1:5" ht="15" x14ac:dyDescent="0.3">
      <c r="A486" s="627"/>
      <c r="B486" s="107" t="s">
        <v>590</v>
      </c>
      <c r="C486" s="106" t="s">
        <v>106</v>
      </c>
      <c r="D486" s="108" t="s">
        <v>106</v>
      </c>
      <c r="E486" s="109">
        <v>0</v>
      </c>
    </row>
    <row r="487" spans="1:5" ht="15" x14ac:dyDescent="0.3">
      <c r="A487" s="627"/>
      <c r="B487" s="107" t="s">
        <v>591</v>
      </c>
      <c r="C487" s="106" t="s">
        <v>106</v>
      </c>
      <c r="D487" s="110" t="s">
        <v>106</v>
      </c>
      <c r="E487" s="111">
        <v>-0.02</v>
      </c>
    </row>
    <row r="488" spans="1:5" ht="15" x14ac:dyDescent="0.3">
      <c r="A488" s="627"/>
      <c r="B488" s="107" t="s">
        <v>592</v>
      </c>
      <c r="C488" s="106" t="s">
        <v>106</v>
      </c>
      <c r="D488" s="108" t="s">
        <v>106</v>
      </c>
      <c r="E488" s="109">
        <v>-0.03</v>
      </c>
    </row>
    <row r="489" spans="1:5" ht="15" x14ac:dyDescent="0.3">
      <c r="A489" s="627"/>
      <c r="B489" s="107" t="s">
        <v>593</v>
      </c>
      <c r="C489" s="106" t="s">
        <v>106</v>
      </c>
      <c r="D489" s="110" t="s">
        <v>106</v>
      </c>
      <c r="E489" s="111">
        <v>-0.03</v>
      </c>
    </row>
    <row r="490" spans="1:5" ht="15" x14ac:dyDescent="0.3">
      <c r="A490" s="627"/>
      <c r="B490" s="107" t="s">
        <v>594</v>
      </c>
      <c r="C490" s="106" t="s">
        <v>106</v>
      </c>
      <c r="D490" s="108" t="s">
        <v>106</v>
      </c>
      <c r="E490" s="109">
        <v>-0.03</v>
      </c>
    </row>
    <row r="491" spans="1:5" ht="15" x14ac:dyDescent="0.3">
      <c r="A491" s="627"/>
      <c r="B491" s="107" t="s">
        <v>595</v>
      </c>
      <c r="C491" s="106" t="s">
        <v>106</v>
      </c>
      <c r="D491" s="110" t="s">
        <v>106</v>
      </c>
      <c r="E491" s="111">
        <v>0</v>
      </c>
    </row>
    <row r="492" spans="1:5" ht="15" x14ac:dyDescent="0.3">
      <c r="A492" s="627"/>
      <c r="B492" s="107" t="s">
        <v>596</v>
      </c>
      <c r="C492" s="106" t="s">
        <v>106</v>
      </c>
      <c r="D492" s="108" t="s">
        <v>106</v>
      </c>
      <c r="E492" s="109">
        <v>-0.01</v>
      </c>
    </row>
    <row r="493" spans="1:5" ht="15" x14ac:dyDescent="0.3">
      <c r="A493" s="627"/>
      <c r="B493" s="107" t="s">
        <v>597</v>
      </c>
      <c r="C493" s="106" t="s">
        <v>106</v>
      </c>
      <c r="D493" s="110" t="s">
        <v>106</v>
      </c>
      <c r="E493" s="111">
        <v>-0.04</v>
      </c>
    </row>
    <row r="494" spans="1:5" ht="15" x14ac:dyDescent="0.3">
      <c r="A494" s="627"/>
      <c r="B494" s="107" t="s">
        <v>598</v>
      </c>
      <c r="C494" s="106" t="s">
        <v>106</v>
      </c>
      <c r="D494" s="108" t="s">
        <v>106</v>
      </c>
      <c r="E494" s="109">
        <v>-0.04</v>
      </c>
    </row>
    <row r="495" spans="1:5" ht="15" x14ac:dyDescent="0.3">
      <c r="A495" s="627"/>
      <c r="B495" s="107" t="s">
        <v>599</v>
      </c>
      <c r="C495" s="106" t="s">
        <v>106</v>
      </c>
      <c r="D495" s="110" t="s">
        <v>106</v>
      </c>
      <c r="E495" s="111">
        <v>-0.04</v>
      </c>
    </row>
    <row r="496" spans="1:5" ht="15" x14ac:dyDescent="0.3">
      <c r="A496" s="627"/>
      <c r="B496" s="107" t="s">
        <v>600</v>
      </c>
      <c r="C496" s="106" t="s">
        <v>106</v>
      </c>
      <c r="D496" s="108" t="s">
        <v>106</v>
      </c>
      <c r="E496" s="109">
        <v>-0.02</v>
      </c>
    </row>
    <row r="497" spans="1:5" ht="15" x14ac:dyDescent="0.3">
      <c r="A497" s="627"/>
      <c r="B497" s="107" t="s">
        <v>601</v>
      </c>
      <c r="C497" s="106" t="s">
        <v>106</v>
      </c>
      <c r="D497" s="110" t="s">
        <v>106</v>
      </c>
      <c r="E497" s="111">
        <v>-0.01</v>
      </c>
    </row>
    <row r="498" spans="1:5" ht="15" x14ac:dyDescent="0.3">
      <c r="A498" s="627"/>
      <c r="B498" s="107" t="s">
        <v>602</v>
      </c>
      <c r="C498" s="106" t="s">
        <v>106</v>
      </c>
      <c r="D498" s="108" t="s">
        <v>106</v>
      </c>
      <c r="E498" s="109">
        <v>-0.05</v>
      </c>
    </row>
    <row r="499" spans="1:5" ht="15" x14ac:dyDescent="0.3">
      <c r="A499" s="627"/>
      <c r="B499" s="107" t="s">
        <v>603</v>
      </c>
      <c r="C499" s="106" t="s">
        <v>106</v>
      </c>
      <c r="D499" s="110" t="s">
        <v>106</v>
      </c>
      <c r="E499" s="111">
        <v>-0.02</v>
      </c>
    </row>
    <row r="500" spans="1:5" ht="15" x14ac:dyDescent="0.3">
      <c r="A500" s="627"/>
      <c r="B500" s="107" t="s">
        <v>604</v>
      </c>
      <c r="C500" s="106" t="s">
        <v>106</v>
      </c>
      <c r="D500" s="108" t="s">
        <v>106</v>
      </c>
      <c r="E500" s="109">
        <v>0.08</v>
      </c>
    </row>
    <row r="501" spans="1:5" ht="15" x14ac:dyDescent="0.3">
      <c r="A501" s="627"/>
      <c r="B501" s="107" t="s">
        <v>605</v>
      </c>
      <c r="C501" s="106" t="s">
        <v>106</v>
      </c>
      <c r="D501" s="110" t="s">
        <v>106</v>
      </c>
      <c r="E501" s="111">
        <v>0.09</v>
      </c>
    </row>
    <row r="502" spans="1:5" ht="15" x14ac:dyDescent="0.3">
      <c r="A502" s="627"/>
      <c r="B502" s="107" t="s">
        <v>606</v>
      </c>
      <c r="C502" s="106" t="s">
        <v>106</v>
      </c>
      <c r="D502" s="108" t="s">
        <v>106</v>
      </c>
      <c r="E502" s="109">
        <v>0.11</v>
      </c>
    </row>
    <row r="503" spans="1:5" ht="15" x14ac:dyDescent="0.3">
      <c r="A503" s="627"/>
      <c r="B503" s="107" t="s">
        <v>607</v>
      </c>
      <c r="C503" s="106" t="s">
        <v>106</v>
      </c>
      <c r="D503" s="110" t="s">
        <v>106</v>
      </c>
      <c r="E503" s="111">
        <v>0.13</v>
      </c>
    </row>
    <row r="504" spans="1:5" ht="15" x14ac:dyDescent="0.3">
      <c r="A504" s="627"/>
      <c r="B504" s="107" t="s">
        <v>608</v>
      </c>
      <c r="C504" s="106" t="s">
        <v>106</v>
      </c>
      <c r="D504" s="108" t="s">
        <v>106</v>
      </c>
      <c r="E504" s="109">
        <v>0.13</v>
      </c>
    </row>
    <row r="505" spans="1:5" ht="15" x14ac:dyDescent="0.3">
      <c r="A505" s="627"/>
      <c r="B505" s="107" t="s">
        <v>609</v>
      </c>
      <c r="C505" s="106" t="s">
        <v>106</v>
      </c>
      <c r="D505" s="110" t="s">
        <v>106</v>
      </c>
      <c r="E505" s="111">
        <v>0.13</v>
      </c>
    </row>
    <row r="506" spans="1:5" ht="15" x14ac:dyDescent="0.3">
      <c r="A506" s="627"/>
      <c r="B506" s="107" t="s">
        <v>610</v>
      </c>
      <c r="C506" s="106" t="s">
        <v>106</v>
      </c>
      <c r="D506" s="108" t="s">
        <v>106</v>
      </c>
      <c r="E506" s="109">
        <v>0.15</v>
      </c>
    </row>
    <row r="507" spans="1:5" ht="15" x14ac:dyDescent="0.3">
      <c r="A507" s="627"/>
      <c r="B507" s="107" t="s">
        <v>611</v>
      </c>
      <c r="C507" s="106" t="s">
        <v>106</v>
      </c>
      <c r="D507" s="110" t="s">
        <v>106</v>
      </c>
      <c r="E507" s="111">
        <v>0.18</v>
      </c>
    </row>
    <row r="508" spans="1:5" ht="15" x14ac:dyDescent="0.3">
      <c r="A508" s="627"/>
      <c r="B508" s="107" t="s">
        <v>612</v>
      </c>
      <c r="C508" s="106" t="s">
        <v>106</v>
      </c>
      <c r="D508" s="108" t="s">
        <v>106</v>
      </c>
      <c r="E508" s="109">
        <v>0.18</v>
      </c>
    </row>
    <row r="509" spans="1:5" ht="15" x14ac:dyDescent="0.3">
      <c r="A509" s="627"/>
      <c r="B509" s="107" t="s">
        <v>613</v>
      </c>
      <c r="C509" s="106" t="s">
        <v>106</v>
      </c>
      <c r="D509" s="110" t="s">
        <v>106</v>
      </c>
      <c r="E509" s="111">
        <v>0.21</v>
      </c>
    </row>
    <row r="510" spans="1:5" ht="15" x14ac:dyDescent="0.3">
      <c r="A510" s="627"/>
      <c r="B510" s="107" t="s">
        <v>614</v>
      </c>
      <c r="C510" s="106" t="s">
        <v>106</v>
      </c>
      <c r="D510" s="108" t="s">
        <v>106</v>
      </c>
      <c r="E510" s="109">
        <v>0.22</v>
      </c>
    </row>
    <row r="511" spans="1:5" ht="15" x14ac:dyDescent="0.3">
      <c r="A511" s="627"/>
      <c r="B511" s="107" t="s">
        <v>615</v>
      </c>
      <c r="C511" s="106" t="s">
        <v>106</v>
      </c>
      <c r="D511" s="110" t="s">
        <v>106</v>
      </c>
      <c r="E511" s="111">
        <v>0.24</v>
      </c>
    </row>
    <row r="512" spans="1:5" ht="15" x14ac:dyDescent="0.3">
      <c r="A512" s="627"/>
      <c r="B512" s="107" t="s">
        <v>616</v>
      </c>
      <c r="C512" s="106" t="s">
        <v>106</v>
      </c>
      <c r="D512" s="108" t="s">
        <v>106</v>
      </c>
      <c r="E512" s="109">
        <v>0.26</v>
      </c>
    </row>
    <row r="513" spans="1:5" ht="15" x14ac:dyDescent="0.3">
      <c r="A513" s="627"/>
      <c r="B513" s="107" t="s">
        <v>617</v>
      </c>
      <c r="C513" s="106" t="s">
        <v>106</v>
      </c>
      <c r="D513" s="110" t="s">
        <v>106</v>
      </c>
      <c r="E513" s="111">
        <v>0.28999999999999998</v>
      </c>
    </row>
    <row r="514" spans="1:5" ht="15" x14ac:dyDescent="0.3">
      <c r="A514" s="627"/>
      <c r="B514" s="107" t="s">
        <v>618</v>
      </c>
      <c r="C514" s="106" t="s">
        <v>106</v>
      </c>
      <c r="D514" s="108" t="s">
        <v>106</v>
      </c>
      <c r="E514" s="109">
        <v>0.27</v>
      </c>
    </row>
    <row r="515" spans="1:5" ht="15" x14ac:dyDescent="0.3">
      <c r="A515" s="627"/>
      <c r="B515" s="107" t="s">
        <v>619</v>
      </c>
      <c r="C515" s="106" t="s">
        <v>106</v>
      </c>
      <c r="D515" s="110" t="s">
        <v>106</v>
      </c>
      <c r="E515" s="111">
        <v>0.27</v>
      </c>
    </row>
    <row r="516" spans="1:5" ht="15" x14ac:dyDescent="0.3">
      <c r="A516" s="627"/>
      <c r="B516" s="107" t="s">
        <v>620</v>
      </c>
      <c r="C516" s="106" t="s">
        <v>106</v>
      </c>
      <c r="D516" s="108" t="s">
        <v>106</v>
      </c>
      <c r="E516" s="109">
        <v>0.26</v>
      </c>
    </row>
    <row r="517" spans="1:5" ht="15" x14ac:dyDescent="0.3">
      <c r="A517" s="627"/>
      <c r="B517" s="107" t="s">
        <v>621</v>
      </c>
      <c r="C517" s="106" t="s">
        <v>106</v>
      </c>
      <c r="D517" s="110" t="s">
        <v>106</v>
      </c>
      <c r="E517" s="111">
        <v>0.24</v>
      </c>
    </row>
    <row r="518" spans="1:5" ht="15" x14ac:dyDescent="0.3">
      <c r="A518" s="627"/>
      <c r="B518" s="107" t="s">
        <v>622</v>
      </c>
      <c r="C518" s="106" t="s">
        <v>106</v>
      </c>
      <c r="D518" s="108" t="s">
        <v>106</v>
      </c>
      <c r="E518" s="109">
        <v>0.28000000000000003</v>
      </c>
    </row>
    <row r="519" spans="1:5" ht="15" x14ac:dyDescent="0.3">
      <c r="A519" s="627"/>
      <c r="B519" s="107" t="s">
        <v>623</v>
      </c>
      <c r="C519" s="106" t="s">
        <v>106</v>
      </c>
      <c r="D519" s="110" t="s">
        <v>106</v>
      </c>
      <c r="E519" s="111">
        <v>0.3</v>
      </c>
    </row>
    <row r="520" spans="1:5" ht="15" x14ac:dyDescent="0.3">
      <c r="A520" s="627"/>
      <c r="B520" s="107" t="s">
        <v>624</v>
      </c>
      <c r="C520" s="106" t="s">
        <v>106</v>
      </c>
      <c r="D520" s="108" t="s">
        <v>106</v>
      </c>
      <c r="E520" s="109">
        <v>0.31</v>
      </c>
    </row>
    <row r="521" spans="1:5" ht="15" x14ac:dyDescent="0.3">
      <c r="A521" s="627"/>
      <c r="B521" s="107" t="s">
        <v>625</v>
      </c>
      <c r="C521" s="106" t="s">
        <v>106</v>
      </c>
      <c r="D521" s="110" t="s">
        <v>106</v>
      </c>
      <c r="E521" s="111">
        <v>0.28000000000000003</v>
      </c>
    </row>
    <row r="522" spans="1:5" ht="15" x14ac:dyDescent="0.3">
      <c r="A522" s="627"/>
      <c r="B522" s="107" t="s">
        <v>626</v>
      </c>
      <c r="C522" s="106" t="s">
        <v>106</v>
      </c>
      <c r="D522" s="108" t="s">
        <v>106</v>
      </c>
      <c r="E522" s="109">
        <v>0.25</v>
      </c>
    </row>
    <row r="523" spans="1:5" ht="15" x14ac:dyDescent="0.3">
      <c r="A523" s="627"/>
      <c r="B523" s="107" t="s">
        <v>627</v>
      </c>
      <c r="C523" s="106" t="s">
        <v>106</v>
      </c>
      <c r="D523" s="110" t="s">
        <v>106</v>
      </c>
      <c r="E523" s="111">
        <v>0.23</v>
      </c>
    </row>
    <row r="524" spans="1:5" ht="15" x14ac:dyDescent="0.3">
      <c r="A524" s="627"/>
      <c r="B524" s="107" t="s">
        <v>628</v>
      </c>
      <c r="C524" s="106" t="s">
        <v>106</v>
      </c>
      <c r="D524" s="108" t="s">
        <v>106</v>
      </c>
      <c r="E524" s="109">
        <v>0.26</v>
      </c>
    </row>
    <row r="525" spans="1:5" ht="15" x14ac:dyDescent="0.3">
      <c r="A525" s="627"/>
      <c r="B525" s="107" t="s">
        <v>629</v>
      </c>
      <c r="C525" s="106" t="s">
        <v>106</v>
      </c>
      <c r="D525" s="110" t="s">
        <v>106</v>
      </c>
      <c r="E525" s="111">
        <v>0.25</v>
      </c>
    </row>
    <row r="526" spans="1:5" ht="15" x14ac:dyDescent="0.3">
      <c r="A526" s="627"/>
      <c r="B526" s="107" t="s">
        <v>630</v>
      </c>
      <c r="C526" s="106" t="s">
        <v>106</v>
      </c>
      <c r="D526" s="108" t="s">
        <v>106</v>
      </c>
      <c r="E526" s="109">
        <v>0.28999999999999998</v>
      </c>
    </row>
    <row r="527" spans="1:5" ht="15" x14ac:dyDescent="0.3">
      <c r="A527" s="627"/>
      <c r="B527" s="107" t="s">
        <v>631</v>
      </c>
      <c r="C527" s="106" t="s">
        <v>106</v>
      </c>
      <c r="D527" s="110" t="s">
        <v>106</v>
      </c>
      <c r="E527" s="111">
        <v>0.28999999999999998</v>
      </c>
    </row>
    <row r="528" spans="1:5" ht="15" x14ac:dyDescent="0.3">
      <c r="A528" s="627"/>
      <c r="B528" s="107" t="s">
        <v>632</v>
      </c>
      <c r="C528" s="106" t="s">
        <v>106</v>
      </c>
      <c r="D528" s="108" t="s">
        <v>106</v>
      </c>
      <c r="E528" s="109">
        <v>0.31</v>
      </c>
    </row>
    <row r="529" spans="1:5" ht="15" x14ac:dyDescent="0.3">
      <c r="A529" s="627"/>
      <c r="B529" s="107" t="s">
        <v>633</v>
      </c>
      <c r="C529" s="106" t="s">
        <v>106</v>
      </c>
      <c r="D529" s="110" t="s">
        <v>106</v>
      </c>
      <c r="E529" s="111">
        <v>0.32</v>
      </c>
    </row>
    <row r="530" spans="1:5" ht="15" x14ac:dyDescent="0.3">
      <c r="A530" s="627"/>
      <c r="B530" s="107" t="s">
        <v>634</v>
      </c>
      <c r="C530" s="106" t="s">
        <v>106</v>
      </c>
      <c r="D530" s="108" t="s">
        <v>106</v>
      </c>
      <c r="E530" s="109">
        <v>0.35</v>
      </c>
    </row>
    <row r="531" spans="1:5" ht="15" x14ac:dyDescent="0.3">
      <c r="A531" s="627"/>
      <c r="B531" s="107" t="s">
        <v>635</v>
      </c>
      <c r="C531" s="106" t="s">
        <v>106</v>
      </c>
      <c r="D531" s="110" t="s">
        <v>106</v>
      </c>
      <c r="E531" s="111">
        <v>0.38</v>
      </c>
    </row>
    <row r="532" spans="1:5" ht="15" x14ac:dyDescent="0.3">
      <c r="A532" s="627"/>
      <c r="B532" s="107" t="s">
        <v>636</v>
      </c>
      <c r="C532" s="106" t="s">
        <v>106</v>
      </c>
      <c r="D532" s="108" t="s">
        <v>106</v>
      </c>
      <c r="E532" s="109">
        <v>0.53</v>
      </c>
    </row>
    <row r="533" spans="1:5" ht="15" x14ac:dyDescent="0.3">
      <c r="A533" s="627"/>
      <c r="B533" s="107" t="s">
        <v>637</v>
      </c>
      <c r="C533" s="106" t="s">
        <v>106</v>
      </c>
      <c r="D533" s="110" t="s">
        <v>106</v>
      </c>
      <c r="E533" s="111">
        <v>0.61</v>
      </c>
    </row>
    <row r="534" spans="1:5" ht="15" x14ac:dyDescent="0.3">
      <c r="A534" s="627"/>
      <c r="B534" s="107" t="s">
        <v>638</v>
      </c>
      <c r="C534" s="106" t="s">
        <v>106</v>
      </c>
      <c r="D534" s="108" t="s">
        <v>106</v>
      </c>
      <c r="E534" s="109">
        <v>0.6</v>
      </c>
    </row>
    <row r="535" spans="1:5" ht="15" x14ac:dyDescent="0.3">
      <c r="A535" s="627"/>
      <c r="B535" s="107" t="s">
        <v>639</v>
      </c>
      <c r="C535" s="106" t="s">
        <v>106</v>
      </c>
      <c r="D535" s="110" t="s">
        <v>106</v>
      </c>
      <c r="E535" s="111">
        <v>0.59</v>
      </c>
    </row>
    <row r="536" spans="1:5" ht="15" x14ac:dyDescent="0.3">
      <c r="A536" s="627"/>
      <c r="B536" s="107" t="s">
        <v>640</v>
      </c>
      <c r="C536" s="106" t="s">
        <v>106</v>
      </c>
      <c r="D536" s="108" t="s">
        <v>106</v>
      </c>
      <c r="E536" s="109">
        <v>0.63</v>
      </c>
    </row>
    <row r="537" spans="1:5" ht="15" x14ac:dyDescent="0.3">
      <c r="A537" s="627"/>
      <c r="B537" s="107" t="s">
        <v>641</v>
      </c>
      <c r="C537" s="106" t="s">
        <v>106</v>
      </c>
      <c r="D537" s="110" t="s">
        <v>106</v>
      </c>
      <c r="E537" s="111">
        <v>0.68</v>
      </c>
    </row>
    <row r="538" spans="1:5" ht="15" x14ac:dyDescent="0.3">
      <c r="A538" s="627"/>
      <c r="B538" s="107" t="s">
        <v>642</v>
      </c>
      <c r="C538" s="106" t="s">
        <v>106</v>
      </c>
      <c r="D538" s="108" t="s">
        <v>106</v>
      </c>
      <c r="E538" s="109">
        <v>0.62</v>
      </c>
    </row>
    <row r="539" spans="1:5" ht="15" x14ac:dyDescent="0.3">
      <c r="A539" s="627"/>
      <c r="B539" s="107" t="s">
        <v>643</v>
      </c>
      <c r="C539" s="106" t="s">
        <v>106</v>
      </c>
      <c r="D539" s="110" t="s">
        <v>106</v>
      </c>
      <c r="E539" s="111">
        <v>0.7</v>
      </c>
    </row>
    <row r="540" spans="1:5" ht="15" x14ac:dyDescent="0.3">
      <c r="A540" s="627"/>
      <c r="B540" s="107" t="s">
        <v>644</v>
      </c>
      <c r="C540" s="106" t="s">
        <v>106</v>
      </c>
      <c r="D540" s="108" t="s">
        <v>106</v>
      </c>
      <c r="E540" s="109">
        <v>0.72</v>
      </c>
    </row>
    <row r="541" spans="1:5" ht="15" x14ac:dyDescent="0.3">
      <c r="A541" s="627"/>
      <c r="B541" s="107" t="s">
        <v>645</v>
      </c>
      <c r="C541" s="106" t="s">
        <v>106</v>
      </c>
      <c r="D541" s="110" t="s">
        <v>106</v>
      </c>
      <c r="E541" s="111">
        <v>0.69</v>
      </c>
    </row>
    <row r="542" spans="1:5" ht="15" x14ac:dyDescent="0.3">
      <c r="A542" s="627"/>
      <c r="B542" s="107" t="s">
        <v>646</v>
      </c>
      <c r="C542" s="106" t="s">
        <v>106</v>
      </c>
      <c r="D542" s="108" t="s">
        <v>106</v>
      </c>
      <c r="E542" s="109">
        <v>0.63</v>
      </c>
    </row>
    <row r="543" spans="1:5" ht="15" x14ac:dyDescent="0.3">
      <c r="A543" s="627"/>
      <c r="B543" s="107" t="s">
        <v>647</v>
      </c>
      <c r="C543" s="106" t="s">
        <v>106</v>
      </c>
      <c r="D543" s="110" t="s">
        <v>106</v>
      </c>
      <c r="E543" s="111">
        <v>0.65</v>
      </c>
    </row>
    <row r="544" spans="1:5" ht="15" x14ac:dyDescent="0.3">
      <c r="A544" s="627"/>
      <c r="B544" s="107" t="s">
        <v>648</v>
      </c>
      <c r="C544" s="106" t="s">
        <v>106</v>
      </c>
      <c r="D544" s="108" t="s">
        <v>106</v>
      </c>
      <c r="E544" s="109">
        <v>0.64</v>
      </c>
    </row>
    <row r="545" spans="1:5" ht="15" x14ac:dyDescent="0.3">
      <c r="A545" s="627"/>
      <c r="B545" s="107" t="s">
        <v>649</v>
      </c>
      <c r="C545" s="106" t="s">
        <v>106</v>
      </c>
      <c r="D545" s="110" t="s">
        <v>106</v>
      </c>
      <c r="E545" s="111">
        <v>0.68</v>
      </c>
    </row>
    <row r="546" spans="1:5" ht="15" x14ac:dyDescent="0.3">
      <c r="A546" s="627"/>
      <c r="B546" s="107" t="s">
        <v>650</v>
      </c>
      <c r="C546" s="106" t="s">
        <v>106</v>
      </c>
      <c r="D546" s="108" t="s">
        <v>106</v>
      </c>
      <c r="E546" s="109">
        <v>0.6</v>
      </c>
    </row>
    <row r="547" spans="1:5" ht="15" x14ac:dyDescent="0.3">
      <c r="A547" s="627"/>
      <c r="B547" s="107" t="s">
        <v>651</v>
      </c>
      <c r="C547" s="106" t="s">
        <v>106</v>
      </c>
      <c r="D547" s="110" t="s">
        <v>106</v>
      </c>
      <c r="E547" s="111">
        <v>0.6</v>
      </c>
    </row>
    <row r="548" spans="1:5" ht="15" x14ac:dyDescent="0.3">
      <c r="A548" s="627"/>
      <c r="B548" s="107" t="s">
        <v>652</v>
      </c>
      <c r="C548" s="106" t="s">
        <v>106</v>
      </c>
      <c r="D548" s="108" t="s">
        <v>106</v>
      </c>
      <c r="E548" s="109">
        <v>0.61</v>
      </c>
    </row>
    <row r="549" spans="1:5" ht="15" x14ac:dyDescent="0.3">
      <c r="A549" s="627"/>
      <c r="B549" s="107" t="s">
        <v>653</v>
      </c>
      <c r="C549" s="106" t="s">
        <v>106</v>
      </c>
      <c r="D549" s="110" t="s">
        <v>106</v>
      </c>
      <c r="E549" s="111">
        <v>0.45</v>
      </c>
    </row>
    <row r="550" spans="1:5" ht="15" x14ac:dyDescent="0.3">
      <c r="A550" s="627"/>
      <c r="B550" s="107" t="s">
        <v>654</v>
      </c>
      <c r="C550" s="106" t="s">
        <v>106</v>
      </c>
      <c r="D550" s="108" t="s">
        <v>106</v>
      </c>
      <c r="E550" s="109">
        <v>0.37</v>
      </c>
    </row>
    <row r="551" spans="1:5" ht="15" x14ac:dyDescent="0.3">
      <c r="A551" s="627"/>
      <c r="B551" s="107" t="s">
        <v>655</v>
      </c>
      <c r="C551" s="106" t="s">
        <v>106</v>
      </c>
      <c r="D551" s="110" t="s">
        <v>106</v>
      </c>
      <c r="E551" s="111">
        <v>0.49</v>
      </c>
    </row>
    <row r="552" spans="1:5" ht="15" x14ac:dyDescent="0.3">
      <c r="A552" s="627"/>
      <c r="B552" s="107" t="s">
        <v>656</v>
      </c>
      <c r="C552" s="106" t="s">
        <v>106</v>
      </c>
      <c r="D552" s="108" t="s">
        <v>106</v>
      </c>
      <c r="E552" s="109">
        <v>0.44</v>
      </c>
    </row>
    <row r="553" spans="1:5" ht="15" x14ac:dyDescent="0.3">
      <c r="A553" s="627"/>
      <c r="B553" s="107" t="s">
        <v>657</v>
      </c>
      <c r="C553" s="106" t="s">
        <v>106</v>
      </c>
      <c r="D553" s="110" t="s">
        <v>106</v>
      </c>
      <c r="E553" s="111">
        <v>0.42</v>
      </c>
    </row>
    <row r="554" spans="1:5" ht="15" x14ac:dyDescent="0.3">
      <c r="A554" s="627"/>
      <c r="B554" s="107" t="s">
        <v>658</v>
      </c>
      <c r="C554" s="106" t="s">
        <v>106</v>
      </c>
      <c r="D554" s="108" t="s">
        <v>106</v>
      </c>
      <c r="E554" s="109">
        <v>0.48</v>
      </c>
    </row>
    <row r="555" spans="1:5" ht="15" x14ac:dyDescent="0.3">
      <c r="A555" s="627"/>
      <c r="B555" s="107" t="s">
        <v>659</v>
      </c>
      <c r="C555" s="106" t="s">
        <v>106</v>
      </c>
      <c r="D555" s="110" t="s">
        <v>106</v>
      </c>
      <c r="E555" s="111">
        <v>0.56999999999999995</v>
      </c>
    </row>
    <row r="556" spans="1:5" ht="15" x14ac:dyDescent="0.3">
      <c r="A556" s="627"/>
      <c r="B556" s="107" t="s">
        <v>660</v>
      </c>
      <c r="C556" s="106" t="s">
        <v>106</v>
      </c>
      <c r="D556" s="108" t="s">
        <v>106</v>
      </c>
      <c r="E556" s="109">
        <v>0.68</v>
      </c>
    </row>
    <row r="557" spans="1:5" ht="15" x14ac:dyDescent="0.3">
      <c r="A557" s="627"/>
      <c r="B557" s="107" t="s">
        <v>661</v>
      </c>
      <c r="C557" s="106" t="s">
        <v>106</v>
      </c>
      <c r="D557" s="110" t="s">
        <v>106</v>
      </c>
      <c r="E557" s="111">
        <v>0.81</v>
      </c>
    </row>
    <row r="558" spans="1:5" ht="15" x14ac:dyDescent="0.3">
      <c r="A558" s="627"/>
      <c r="B558" s="107" t="s">
        <v>662</v>
      </c>
      <c r="C558" s="106" t="s">
        <v>106</v>
      </c>
      <c r="D558" s="108" t="s">
        <v>106</v>
      </c>
      <c r="E558" s="109">
        <v>0.88</v>
      </c>
    </row>
    <row r="559" spans="1:5" ht="15" x14ac:dyDescent="0.3">
      <c r="A559" s="627"/>
      <c r="B559" s="107" t="s">
        <v>663</v>
      </c>
      <c r="C559" s="106" t="s">
        <v>106</v>
      </c>
      <c r="D559" s="110" t="s">
        <v>106</v>
      </c>
      <c r="E559" s="111">
        <v>0.88</v>
      </c>
    </row>
    <row r="560" spans="1:5" ht="15" x14ac:dyDescent="0.3">
      <c r="A560" s="627"/>
      <c r="B560" s="107" t="s">
        <v>664</v>
      </c>
      <c r="C560" s="106" t="s">
        <v>106</v>
      </c>
      <c r="D560" s="108" t="s">
        <v>106</v>
      </c>
      <c r="E560" s="109">
        <v>0.88</v>
      </c>
    </row>
    <row r="561" spans="1:5" ht="15" x14ac:dyDescent="0.3">
      <c r="A561" s="627"/>
      <c r="B561" s="107" t="s">
        <v>665</v>
      </c>
      <c r="C561" s="106" t="s">
        <v>106</v>
      </c>
      <c r="D561" s="110" t="s">
        <v>106</v>
      </c>
      <c r="E561" s="111">
        <v>0.88</v>
      </c>
    </row>
    <row r="562" spans="1:5" ht="15" x14ac:dyDescent="0.3">
      <c r="A562" s="627"/>
      <c r="B562" s="107" t="s">
        <v>666</v>
      </c>
      <c r="C562" s="106" t="s">
        <v>106</v>
      </c>
      <c r="D562" s="108" t="s">
        <v>106</v>
      </c>
      <c r="E562" s="109">
        <v>0.87</v>
      </c>
    </row>
    <row r="563" spans="1:5" ht="15" x14ac:dyDescent="0.3">
      <c r="A563" s="627"/>
      <c r="B563" s="107" t="s">
        <v>667</v>
      </c>
      <c r="C563" s="106" t="s">
        <v>106</v>
      </c>
      <c r="D563" s="110" t="s">
        <v>106</v>
      </c>
      <c r="E563" s="111">
        <v>0.91</v>
      </c>
    </row>
    <row r="564" spans="1:5" ht="15" x14ac:dyDescent="0.3">
      <c r="A564" s="627"/>
      <c r="B564" s="107" t="s">
        <v>668</v>
      </c>
      <c r="C564" s="106" t="s">
        <v>106</v>
      </c>
      <c r="D564" s="108" t="s">
        <v>106</v>
      </c>
      <c r="E564" s="109">
        <v>0.98</v>
      </c>
    </row>
    <row r="565" spans="1:5" ht="15" x14ac:dyDescent="0.3">
      <c r="A565" s="627"/>
      <c r="B565" s="107" t="s">
        <v>669</v>
      </c>
      <c r="C565" s="106" t="s">
        <v>106</v>
      </c>
      <c r="D565" s="110" t="s">
        <v>106</v>
      </c>
      <c r="E565" s="111">
        <v>0.95</v>
      </c>
    </row>
    <row r="566" spans="1:5" ht="15" x14ac:dyDescent="0.3">
      <c r="A566" s="627"/>
      <c r="B566" s="107" t="s">
        <v>670</v>
      </c>
      <c r="C566" s="106" t="s">
        <v>106</v>
      </c>
      <c r="D566" s="108" t="s">
        <v>106</v>
      </c>
      <c r="E566" s="109">
        <v>1</v>
      </c>
    </row>
    <row r="567" spans="1:5" ht="15" x14ac:dyDescent="0.3">
      <c r="A567" s="627"/>
      <c r="B567" s="107" t="s">
        <v>671</v>
      </c>
      <c r="C567" s="106" t="s">
        <v>106</v>
      </c>
      <c r="D567" s="110" t="s">
        <v>106</v>
      </c>
      <c r="E567" s="111">
        <v>0.97</v>
      </c>
    </row>
    <row r="568" spans="1:5" ht="15" x14ac:dyDescent="0.3">
      <c r="A568" s="627"/>
      <c r="B568" s="107" t="s">
        <v>672</v>
      </c>
      <c r="C568" s="106" t="s">
        <v>106</v>
      </c>
      <c r="D568" s="108" t="s">
        <v>106</v>
      </c>
      <c r="E568" s="109">
        <v>1.07</v>
      </c>
    </row>
    <row r="569" spans="1:5" ht="15" x14ac:dyDescent="0.3">
      <c r="A569" s="627"/>
      <c r="B569" s="107" t="s">
        <v>673</v>
      </c>
      <c r="C569" s="106" t="s">
        <v>106</v>
      </c>
      <c r="D569" s="110" t="s">
        <v>106</v>
      </c>
      <c r="E569" s="111">
        <v>1.08</v>
      </c>
    </row>
    <row r="570" spans="1:5" ht="15" x14ac:dyDescent="0.3">
      <c r="A570" s="627"/>
      <c r="B570" s="107" t="s">
        <v>674</v>
      </c>
      <c r="C570" s="106" t="s">
        <v>106</v>
      </c>
      <c r="D570" s="108" t="s">
        <v>106</v>
      </c>
      <c r="E570" s="109">
        <v>1.1100000000000001</v>
      </c>
    </row>
    <row r="571" spans="1:5" ht="15" x14ac:dyDescent="0.3">
      <c r="A571" s="627"/>
      <c r="B571" s="107" t="s">
        <v>675</v>
      </c>
      <c r="C571" s="106" t="s">
        <v>106</v>
      </c>
      <c r="D571" s="110" t="s">
        <v>106</v>
      </c>
      <c r="E571" s="111">
        <v>1.08</v>
      </c>
    </row>
    <row r="572" spans="1:5" ht="15" x14ac:dyDescent="0.3">
      <c r="A572" s="627"/>
      <c r="B572" s="107" t="s">
        <v>676</v>
      </c>
      <c r="C572" s="106" t="s">
        <v>106</v>
      </c>
      <c r="D572" s="108" t="s">
        <v>106</v>
      </c>
      <c r="E572" s="109">
        <v>1.0900000000000001</v>
      </c>
    </row>
    <row r="573" spans="1:5" ht="15" x14ac:dyDescent="0.3">
      <c r="A573" s="627"/>
      <c r="B573" s="107" t="s">
        <v>677</v>
      </c>
      <c r="C573" s="106" t="s">
        <v>106</v>
      </c>
      <c r="D573" s="110" t="s">
        <v>106</v>
      </c>
      <c r="E573" s="111">
        <v>1.01</v>
      </c>
    </row>
    <row r="574" spans="1:5" ht="15" x14ac:dyDescent="0.3">
      <c r="A574" s="627"/>
      <c r="B574" s="107" t="s">
        <v>678</v>
      </c>
      <c r="C574" s="106" t="s">
        <v>106</v>
      </c>
      <c r="D574" s="108" t="s">
        <v>106</v>
      </c>
      <c r="E574" s="109">
        <v>1.07</v>
      </c>
    </row>
    <row r="575" spans="1:5" ht="15" x14ac:dyDescent="0.3">
      <c r="A575" s="627"/>
      <c r="B575" s="107" t="s">
        <v>679</v>
      </c>
      <c r="C575" s="106" t="s">
        <v>106</v>
      </c>
      <c r="D575" s="110" t="s">
        <v>106</v>
      </c>
      <c r="E575" s="111">
        <v>1.21</v>
      </c>
    </row>
    <row r="576" spans="1:5" ht="15" x14ac:dyDescent="0.3">
      <c r="A576" s="627"/>
      <c r="B576" s="107" t="s">
        <v>680</v>
      </c>
      <c r="C576" s="106" t="s">
        <v>106</v>
      </c>
      <c r="D576" s="108" t="s">
        <v>106</v>
      </c>
      <c r="E576" s="109">
        <v>1.17</v>
      </c>
    </row>
    <row r="577" spans="1:5" ht="15" x14ac:dyDescent="0.3">
      <c r="A577" s="627"/>
      <c r="B577" s="107" t="s">
        <v>681</v>
      </c>
      <c r="C577" s="106" t="s">
        <v>106</v>
      </c>
      <c r="D577" s="110" t="s">
        <v>106</v>
      </c>
      <c r="E577" s="111">
        <v>1.24</v>
      </c>
    </row>
    <row r="578" spans="1:5" ht="15" x14ac:dyDescent="0.3">
      <c r="A578" s="627"/>
      <c r="B578" s="107" t="s">
        <v>682</v>
      </c>
      <c r="C578" s="106" t="s">
        <v>106</v>
      </c>
      <c r="D578" s="108" t="s">
        <v>106</v>
      </c>
      <c r="E578" s="109">
        <v>1.28</v>
      </c>
    </row>
    <row r="579" spans="1:5" ht="15" x14ac:dyDescent="0.3">
      <c r="A579" s="627"/>
      <c r="B579" s="107" t="s">
        <v>683</v>
      </c>
      <c r="C579" s="106" t="s">
        <v>106</v>
      </c>
      <c r="D579" s="110" t="s">
        <v>106</v>
      </c>
      <c r="E579" s="111">
        <v>1.36</v>
      </c>
    </row>
    <row r="580" spans="1:5" ht="15" x14ac:dyDescent="0.3">
      <c r="A580" s="627"/>
      <c r="B580" s="107" t="s">
        <v>684</v>
      </c>
      <c r="C580" s="106" t="s">
        <v>106</v>
      </c>
      <c r="D580" s="108" t="s">
        <v>106</v>
      </c>
      <c r="E580" s="109">
        <v>1.34</v>
      </c>
    </row>
    <row r="581" spans="1:5" ht="15" x14ac:dyDescent="0.3">
      <c r="A581" s="627"/>
      <c r="B581" s="107" t="s">
        <v>685</v>
      </c>
      <c r="C581" s="106" t="s">
        <v>106</v>
      </c>
      <c r="D581" s="110" t="s">
        <v>106</v>
      </c>
      <c r="E581" s="111">
        <v>1.3</v>
      </c>
    </row>
    <row r="582" spans="1:5" ht="15" x14ac:dyDescent="0.3">
      <c r="A582" s="627"/>
      <c r="B582" s="107" t="s">
        <v>686</v>
      </c>
      <c r="C582" s="106" t="s">
        <v>106</v>
      </c>
      <c r="D582" s="108" t="s">
        <v>106</v>
      </c>
      <c r="E582" s="109">
        <v>1.41</v>
      </c>
    </row>
    <row r="583" spans="1:5" ht="15" x14ac:dyDescent="0.3">
      <c r="A583" s="627"/>
      <c r="B583" s="107" t="s">
        <v>687</v>
      </c>
      <c r="C583" s="106" t="s">
        <v>106</v>
      </c>
      <c r="D583" s="110" t="s">
        <v>106</v>
      </c>
      <c r="E583" s="111">
        <v>1.37</v>
      </c>
    </row>
    <row r="584" spans="1:5" ht="15" x14ac:dyDescent="0.3">
      <c r="A584" s="627"/>
      <c r="B584" s="107" t="s">
        <v>688</v>
      </c>
      <c r="C584" s="106" t="s">
        <v>106</v>
      </c>
      <c r="D584" s="108" t="s">
        <v>106</v>
      </c>
      <c r="E584" s="109">
        <v>1.43</v>
      </c>
    </row>
    <row r="585" spans="1:5" ht="15" x14ac:dyDescent="0.3">
      <c r="A585" s="627"/>
      <c r="B585" s="107" t="s">
        <v>689</v>
      </c>
      <c r="C585" s="106" t="s">
        <v>106</v>
      </c>
      <c r="D585" s="110" t="s">
        <v>106</v>
      </c>
      <c r="E585" s="111">
        <v>1.43</v>
      </c>
    </row>
    <row r="586" spans="1:5" ht="15" x14ac:dyDescent="0.3">
      <c r="A586" s="627"/>
      <c r="B586" s="107" t="s">
        <v>690</v>
      </c>
      <c r="C586" s="106" t="s">
        <v>106</v>
      </c>
      <c r="D586" s="108" t="s">
        <v>106</v>
      </c>
      <c r="E586" s="109">
        <v>1.43</v>
      </c>
    </row>
    <row r="587" spans="1:5" ht="15" x14ac:dyDescent="0.3">
      <c r="A587" s="627"/>
      <c r="B587" s="107" t="s">
        <v>691</v>
      </c>
      <c r="C587" s="106" t="s">
        <v>106</v>
      </c>
      <c r="D587" s="110" t="s">
        <v>106</v>
      </c>
      <c r="E587" s="111">
        <v>1.37</v>
      </c>
    </row>
    <row r="588" spans="1:5" ht="15" x14ac:dyDescent="0.3">
      <c r="A588" s="627"/>
      <c r="B588" s="107" t="s">
        <v>692</v>
      </c>
      <c r="C588" s="106" t="s">
        <v>106</v>
      </c>
      <c r="D588" s="108" t="s">
        <v>106</v>
      </c>
      <c r="E588" s="109">
        <v>1.36</v>
      </c>
    </row>
    <row r="589" spans="1:5" ht="15" x14ac:dyDescent="0.3">
      <c r="A589" s="627"/>
      <c r="B589" s="107" t="s">
        <v>693</v>
      </c>
      <c r="C589" s="106" t="s">
        <v>106</v>
      </c>
      <c r="D589" s="110" t="s">
        <v>106</v>
      </c>
      <c r="E589" s="111">
        <v>1.37</v>
      </c>
    </row>
    <row r="590" spans="1:5" ht="15" x14ac:dyDescent="0.3">
      <c r="A590" s="627"/>
      <c r="B590" s="107" t="s">
        <v>694</v>
      </c>
      <c r="C590" s="106" t="s">
        <v>106</v>
      </c>
      <c r="D590" s="108" t="s">
        <v>106</v>
      </c>
      <c r="E590" s="109">
        <v>1.46</v>
      </c>
    </row>
    <row r="591" spans="1:5" ht="15" x14ac:dyDescent="0.3">
      <c r="A591" s="627"/>
      <c r="B591" s="107" t="s">
        <v>695</v>
      </c>
      <c r="C591" s="106" t="s">
        <v>106</v>
      </c>
      <c r="D591" s="110" t="s">
        <v>106</v>
      </c>
      <c r="E591" s="111">
        <v>1.49</v>
      </c>
    </row>
    <row r="592" spans="1:5" ht="15" x14ac:dyDescent="0.3">
      <c r="A592" s="627"/>
      <c r="B592" s="107" t="s">
        <v>696</v>
      </c>
      <c r="C592" s="106" t="s">
        <v>106</v>
      </c>
      <c r="D592" s="108" t="s">
        <v>106</v>
      </c>
      <c r="E592" s="109">
        <v>1.56</v>
      </c>
    </row>
    <row r="593" spans="1:5" ht="15" x14ac:dyDescent="0.3">
      <c r="A593" s="627"/>
      <c r="B593" s="107" t="s">
        <v>697</v>
      </c>
      <c r="C593" s="106" t="s">
        <v>106</v>
      </c>
      <c r="D593" s="110" t="s">
        <v>106</v>
      </c>
      <c r="E593" s="111">
        <v>1.56</v>
      </c>
    </row>
    <row r="594" spans="1:5" ht="15" x14ac:dyDescent="0.3">
      <c r="A594" s="627"/>
      <c r="B594" s="107" t="s">
        <v>698</v>
      </c>
      <c r="C594" s="106" t="s">
        <v>106</v>
      </c>
      <c r="D594" s="108" t="s">
        <v>106</v>
      </c>
      <c r="E594" s="109">
        <v>1.58</v>
      </c>
    </row>
    <row r="595" spans="1:5" ht="15" x14ac:dyDescent="0.3">
      <c r="A595" s="627"/>
      <c r="B595" s="107" t="s">
        <v>699</v>
      </c>
      <c r="C595" s="106" t="s">
        <v>106</v>
      </c>
      <c r="D595" s="110" t="s">
        <v>106</v>
      </c>
      <c r="E595" s="111">
        <v>1.64</v>
      </c>
    </row>
    <row r="596" spans="1:5" ht="15" x14ac:dyDescent="0.3">
      <c r="A596" s="627"/>
      <c r="B596" s="107" t="s">
        <v>700</v>
      </c>
      <c r="C596" s="106" t="s">
        <v>106</v>
      </c>
      <c r="D596" s="108" t="s">
        <v>106</v>
      </c>
      <c r="E596" s="109">
        <v>1.73</v>
      </c>
    </row>
    <row r="597" spans="1:5" ht="15" x14ac:dyDescent="0.3">
      <c r="A597" s="627"/>
      <c r="B597" s="107" t="s">
        <v>701</v>
      </c>
      <c r="C597" s="106" t="s">
        <v>106</v>
      </c>
      <c r="D597" s="110" t="s">
        <v>106</v>
      </c>
      <c r="E597" s="111">
        <v>1.65</v>
      </c>
    </row>
    <row r="598" spans="1:5" ht="15" x14ac:dyDescent="0.3">
      <c r="A598" s="627"/>
      <c r="B598" s="107" t="s">
        <v>702</v>
      </c>
      <c r="C598" s="106" t="s">
        <v>106</v>
      </c>
      <c r="D598" s="108" t="s">
        <v>106</v>
      </c>
      <c r="E598" s="109">
        <v>1.55</v>
      </c>
    </row>
    <row r="599" spans="1:5" ht="15" x14ac:dyDescent="0.3">
      <c r="A599" s="627"/>
      <c r="B599" s="107" t="s">
        <v>703</v>
      </c>
      <c r="C599" s="106" t="s">
        <v>106</v>
      </c>
      <c r="D599" s="110" t="s">
        <v>106</v>
      </c>
      <c r="E599" s="111">
        <v>1.47</v>
      </c>
    </row>
    <row r="600" spans="1:5" ht="15" x14ac:dyDescent="0.3">
      <c r="A600" s="627"/>
      <c r="B600" s="107" t="s">
        <v>704</v>
      </c>
      <c r="C600" s="106" t="s">
        <v>106</v>
      </c>
      <c r="D600" s="108" t="s">
        <v>106</v>
      </c>
      <c r="E600" s="109">
        <v>1.47</v>
      </c>
    </row>
    <row r="601" spans="1:5" ht="15" x14ac:dyDescent="0.3">
      <c r="A601" s="627"/>
      <c r="B601" s="107" t="s">
        <v>705</v>
      </c>
      <c r="C601" s="106" t="s">
        <v>106</v>
      </c>
      <c r="D601" s="110" t="s">
        <v>106</v>
      </c>
      <c r="E601" s="111">
        <v>1.57</v>
      </c>
    </row>
    <row r="602" spans="1:5" ht="15" x14ac:dyDescent="0.3">
      <c r="A602" s="627"/>
      <c r="B602" s="107" t="s">
        <v>706</v>
      </c>
      <c r="C602" s="106" t="s">
        <v>106</v>
      </c>
      <c r="D602" s="108" t="s">
        <v>106</v>
      </c>
      <c r="E602" s="109">
        <v>1.56</v>
      </c>
    </row>
    <row r="603" spans="1:5" ht="15" x14ac:dyDescent="0.3">
      <c r="A603" s="627"/>
      <c r="B603" s="107" t="s">
        <v>707</v>
      </c>
      <c r="C603" s="106" t="s">
        <v>106</v>
      </c>
      <c r="D603" s="110" t="s">
        <v>106</v>
      </c>
      <c r="E603" s="111">
        <v>1.61</v>
      </c>
    </row>
    <row r="604" spans="1:5" ht="15" x14ac:dyDescent="0.3">
      <c r="A604" s="627"/>
      <c r="B604" s="107" t="s">
        <v>708</v>
      </c>
      <c r="C604" s="106" t="s">
        <v>106</v>
      </c>
      <c r="D604" s="108" t="s">
        <v>106</v>
      </c>
      <c r="E604" s="109">
        <v>1.55</v>
      </c>
    </row>
    <row r="605" spans="1:5" ht="15" x14ac:dyDescent="0.3">
      <c r="A605" s="627"/>
      <c r="B605" s="107" t="s">
        <v>709</v>
      </c>
      <c r="C605" s="106" t="s">
        <v>106</v>
      </c>
      <c r="D605" s="110" t="s">
        <v>106</v>
      </c>
      <c r="E605" s="111">
        <v>1.56</v>
      </c>
    </row>
    <row r="606" spans="1:5" ht="15" x14ac:dyDescent="0.3">
      <c r="A606" s="627"/>
      <c r="B606" s="107" t="s">
        <v>710</v>
      </c>
      <c r="C606" s="106" t="s">
        <v>106</v>
      </c>
      <c r="D606" s="108" t="s">
        <v>106</v>
      </c>
      <c r="E606" s="109">
        <v>1.57</v>
      </c>
    </row>
    <row r="607" spans="1:5" ht="15" x14ac:dyDescent="0.3">
      <c r="A607" s="627"/>
      <c r="B607" s="107" t="s">
        <v>711</v>
      </c>
      <c r="C607" s="106" t="s">
        <v>106</v>
      </c>
      <c r="D607" s="110" t="s">
        <v>106</v>
      </c>
      <c r="E607" s="111">
        <v>1.58</v>
      </c>
    </row>
    <row r="608" spans="1:5" ht="15" x14ac:dyDescent="0.3">
      <c r="A608" s="627"/>
      <c r="B608" s="107" t="s">
        <v>712</v>
      </c>
      <c r="C608" s="106" t="s">
        <v>106</v>
      </c>
      <c r="D608" s="108" t="s">
        <v>106</v>
      </c>
      <c r="E608" s="109">
        <v>1.55</v>
      </c>
    </row>
    <row r="609" spans="1:5" ht="15" x14ac:dyDescent="0.3">
      <c r="A609" s="627"/>
      <c r="B609" s="107" t="s">
        <v>713</v>
      </c>
      <c r="C609" s="106" t="s">
        <v>106</v>
      </c>
      <c r="D609" s="110" t="s">
        <v>106</v>
      </c>
      <c r="E609" s="111">
        <v>1.65</v>
      </c>
    </row>
    <row r="610" spans="1:5" ht="15" x14ac:dyDescent="0.3">
      <c r="A610" s="627"/>
      <c r="B610" s="107" t="s">
        <v>714</v>
      </c>
      <c r="C610" s="106" t="s">
        <v>106</v>
      </c>
      <c r="D610" s="108" t="s">
        <v>106</v>
      </c>
      <c r="E610" s="109">
        <v>1.65</v>
      </c>
    </row>
    <row r="611" spans="1:5" ht="15" x14ac:dyDescent="0.3">
      <c r="A611" s="627"/>
      <c r="B611" s="107" t="s">
        <v>715</v>
      </c>
      <c r="C611" s="106" t="s">
        <v>106</v>
      </c>
      <c r="D611" s="110" t="s">
        <v>106</v>
      </c>
      <c r="E611" s="111">
        <v>1.72</v>
      </c>
    </row>
    <row r="612" spans="1:5" ht="15" x14ac:dyDescent="0.3">
      <c r="A612" s="627"/>
      <c r="B612" s="107" t="s">
        <v>716</v>
      </c>
      <c r="C612" s="106" t="s">
        <v>106</v>
      </c>
      <c r="D612" s="108" t="s">
        <v>106</v>
      </c>
      <c r="E612" s="109">
        <v>1.8</v>
      </c>
    </row>
    <row r="613" spans="1:5" ht="15" x14ac:dyDescent="0.3">
      <c r="A613" s="627"/>
      <c r="B613" s="107" t="s">
        <v>717</v>
      </c>
      <c r="C613" s="106" t="s">
        <v>106</v>
      </c>
      <c r="D613" s="110" t="s">
        <v>106</v>
      </c>
      <c r="E613" s="111">
        <v>1.85</v>
      </c>
    </row>
    <row r="614" spans="1:5" ht="15" x14ac:dyDescent="0.3">
      <c r="A614" s="627"/>
      <c r="B614" s="107" t="s">
        <v>718</v>
      </c>
      <c r="C614" s="106" t="s">
        <v>106</v>
      </c>
      <c r="D614" s="108" t="s">
        <v>106</v>
      </c>
      <c r="E614" s="109">
        <v>1.9</v>
      </c>
    </row>
    <row r="615" spans="1:5" ht="15" x14ac:dyDescent="0.3">
      <c r="A615" s="627"/>
      <c r="B615" s="107" t="s">
        <v>719</v>
      </c>
      <c r="C615" s="106" t="s">
        <v>106</v>
      </c>
      <c r="D615" s="110" t="s">
        <v>106</v>
      </c>
      <c r="E615" s="111">
        <v>1.93</v>
      </c>
    </row>
    <row r="616" spans="1:5" ht="15" x14ac:dyDescent="0.3">
      <c r="A616" s="627"/>
      <c r="B616" s="107" t="s">
        <v>720</v>
      </c>
      <c r="C616" s="106" t="s">
        <v>106</v>
      </c>
      <c r="D616" s="108" t="s">
        <v>106</v>
      </c>
      <c r="E616" s="109">
        <v>1.95</v>
      </c>
    </row>
    <row r="617" spans="1:5" ht="15" x14ac:dyDescent="0.3">
      <c r="A617" s="627"/>
      <c r="B617" s="107" t="s">
        <v>721</v>
      </c>
      <c r="C617" s="106" t="s">
        <v>106</v>
      </c>
      <c r="D617" s="110" t="s">
        <v>106</v>
      </c>
      <c r="E617" s="111">
        <v>2.04</v>
      </c>
    </row>
    <row r="618" spans="1:5" ht="15" x14ac:dyDescent="0.3">
      <c r="A618" s="627"/>
      <c r="B618" s="107" t="s">
        <v>722</v>
      </c>
      <c r="C618" s="106" t="s">
        <v>106</v>
      </c>
      <c r="D618" s="108" t="s">
        <v>106</v>
      </c>
      <c r="E618" s="109">
        <v>2.23</v>
      </c>
    </row>
    <row r="619" spans="1:5" ht="15" x14ac:dyDescent="0.3">
      <c r="A619" s="627"/>
      <c r="B619" s="107" t="s">
        <v>723</v>
      </c>
      <c r="C619" s="106" t="s">
        <v>106</v>
      </c>
      <c r="D619" s="110" t="s">
        <v>106</v>
      </c>
      <c r="E619" s="111">
        <v>2.33</v>
      </c>
    </row>
    <row r="620" spans="1:5" ht="15" x14ac:dyDescent="0.3">
      <c r="A620" s="627"/>
      <c r="B620" s="107" t="s">
        <v>724</v>
      </c>
      <c r="C620" s="106" t="s">
        <v>106</v>
      </c>
      <c r="D620" s="108" t="s">
        <v>106</v>
      </c>
      <c r="E620" s="109">
        <v>2.41</v>
      </c>
    </row>
    <row r="621" spans="1:5" ht="15" x14ac:dyDescent="0.3">
      <c r="A621" s="627"/>
      <c r="B621" s="107" t="s">
        <v>725</v>
      </c>
      <c r="C621" s="106" t="s">
        <v>106</v>
      </c>
      <c r="D621" s="110" t="s">
        <v>106</v>
      </c>
      <c r="E621" s="111">
        <v>2.44</v>
      </c>
    </row>
    <row r="622" spans="1:5" ht="15" x14ac:dyDescent="0.3">
      <c r="A622" s="627"/>
      <c r="B622" s="107" t="s">
        <v>726</v>
      </c>
      <c r="C622" s="106" t="s">
        <v>106</v>
      </c>
      <c r="D622" s="108" t="s">
        <v>106</v>
      </c>
      <c r="E622" s="109">
        <v>2.29</v>
      </c>
    </row>
    <row r="623" spans="1:5" ht="15" x14ac:dyDescent="0.3">
      <c r="A623" s="627"/>
      <c r="B623" s="107" t="s">
        <v>727</v>
      </c>
      <c r="C623" s="106" t="s">
        <v>106</v>
      </c>
      <c r="D623" s="110" t="s">
        <v>106</v>
      </c>
      <c r="E623" s="111">
        <v>2.2999999999999998</v>
      </c>
    </row>
    <row r="624" spans="1:5" ht="15" x14ac:dyDescent="0.3">
      <c r="A624" s="627"/>
      <c r="B624" s="107" t="s">
        <v>728</v>
      </c>
      <c r="C624" s="106" t="s">
        <v>106</v>
      </c>
      <c r="D624" s="108" t="s">
        <v>106</v>
      </c>
      <c r="E624" s="109">
        <v>2.36</v>
      </c>
    </row>
    <row r="625" spans="1:5" ht="15" x14ac:dyDescent="0.3">
      <c r="A625" s="627"/>
      <c r="B625" s="107" t="s">
        <v>729</v>
      </c>
      <c r="C625" s="106" t="s">
        <v>106</v>
      </c>
      <c r="D625" s="110" t="s">
        <v>106</v>
      </c>
      <c r="E625" s="111">
        <v>2.33</v>
      </c>
    </row>
    <row r="626" spans="1:5" ht="15" x14ac:dyDescent="0.3">
      <c r="A626" s="627"/>
      <c r="B626" s="107" t="s">
        <v>730</v>
      </c>
      <c r="C626" s="106" t="s">
        <v>106</v>
      </c>
      <c r="D626" s="108" t="s">
        <v>106</v>
      </c>
      <c r="E626" s="109">
        <v>2.08</v>
      </c>
    </row>
    <row r="627" spans="1:5" ht="15" x14ac:dyDescent="0.3">
      <c r="A627" s="627"/>
      <c r="B627" s="107" t="s">
        <v>731</v>
      </c>
      <c r="C627" s="106" t="s">
        <v>106</v>
      </c>
      <c r="D627" s="110" t="s">
        <v>106</v>
      </c>
      <c r="E627" s="111">
        <v>2.0699999999999998</v>
      </c>
    </row>
    <row r="628" spans="1:5" ht="15" x14ac:dyDescent="0.3">
      <c r="A628" s="627"/>
      <c r="B628" s="107" t="s">
        <v>732</v>
      </c>
      <c r="C628" s="106" t="s">
        <v>106</v>
      </c>
      <c r="D628" s="108" t="s">
        <v>106</v>
      </c>
      <c r="E628" s="109">
        <v>2.1</v>
      </c>
    </row>
    <row r="629" spans="1:5" ht="15" x14ac:dyDescent="0.3">
      <c r="A629" s="627"/>
      <c r="B629" s="107" t="s">
        <v>733</v>
      </c>
      <c r="C629" s="106" t="s">
        <v>106</v>
      </c>
      <c r="D629" s="110" t="s">
        <v>106</v>
      </c>
      <c r="E629" s="111">
        <v>2.2200000000000002</v>
      </c>
    </row>
    <row r="630" spans="1:5" ht="15" x14ac:dyDescent="0.3">
      <c r="A630" s="627"/>
      <c r="B630" s="107" t="s">
        <v>734</v>
      </c>
      <c r="C630" s="106" t="s">
        <v>106</v>
      </c>
      <c r="D630" s="108" t="s">
        <v>106</v>
      </c>
      <c r="E630" s="109">
        <v>2.2200000000000002</v>
      </c>
    </row>
    <row r="631" spans="1:5" ht="15" x14ac:dyDescent="0.3">
      <c r="A631" s="627"/>
      <c r="B631" s="107" t="s">
        <v>735</v>
      </c>
      <c r="C631" s="106" t="s">
        <v>106</v>
      </c>
      <c r="D631" s="110" t="s">
        <v>106</v>
      </c>
      <c r="E631" s="111">
        <v>2.1</v>
      </c>
    </row>
    <row r="632" spans="1:5" ht="15" x14ac:dyDescent="0.3">
      <c r="A632" s="627"/>
      <c r="B632" s="107" t="s">
        <v>736</v>
      </c>
      <c r="C632" s="106" t="s">
        <v>106</v>
      </c>
      <c r="D632" s="108" t="s">
        <v>106</v>
      </c>
      <c r="E632" s="109">
        <v>2.06</v>
      </c>
    </row>
    <row r="633" spans="1:5" ht="15" x14ac:dyDescent="0.3">
      <c r="A633" s="627"/>
      <c r="B633" s="107" t="s">
        <v>737</v>
      </c>
      <c r="C633" s="106" t="s">
        <v>106</v>
      </c>
      <c r="D633" s="110" t="s">
        <v>106</v>
      </c>
      <c r="E633" s="111">
        <v>1.95</v>
      </c>
    </row>
    <row r="634" spans="1:5" ht="15" x14ac:dyDescent="0.3">
      <c r="A634" s="627"/>
      <c r="B634" s="107" t="s">
        <v>738</v>
      </c>
      <c r="C634" s="106" t="s">
        <v>106</v>
      </c>
      <c r="D634" s="108" t="s">
        <v>106</v>
      </c>
      <c r="E634" s="109">
        <v>1.97</v>
      </c>
    </row>
    <row r="635" spans="1:5" ht="15" x14ac:dyDescent="0.3">
      <c r="A635" s="627"/>
      <c r="B635" s="107" t="s">
        <v>739</v>
      </c>
      <c r="C635" s="106" t="s">
        <v>106</v>
      </c>
      <c r="D635" s="110" t="s">
        <v>106</v>
      </c>
      <c r="E635" s="111">
        <v>1.89</v>
      </c>
    </row>
    <row r="636" spans="1:5" ht="15" x14ac:dyDescent="0.3">
      <c r="A636" s="627"/>
      <c r="B636" s="107" t="s">
        <v>740</v>
      </c>
      <c r="C636" s="106" t="s">
        <v>106</v>
      </c>
      <c r="D636" s="108" t="s">
        <v>106</v>
      </c>
      <c r="E636" s="109">
        <v>1.95</v>
      </c>
    </row>
    <row r="637" spans="1:5" ht="15" x14ac:dyDescent="0.3">
      <c r="A637" s="627"/>
      <c r="B637" s="107" t="s">
        <v>741</v>
      </c>
      <c r="C637" s="106" t="s">
        <v>106</v>
      </c>
      <c r="D637" s="110" t="s">
        <v>106</v>
      </c>
      <c r="E637" s="111">
        <v>1.91</v>
      </c>
    </row>
    <row r="638" spans="1:5" ht="15" x14ac:dyDescent="0.3">
      <c r="A638" s="627"/>
      <c r="B638" s="107" t="s">
        <v>742</v>
      </c>
      <c r="C638" s="106" t="s">
        <v>106</v>
      </c>
      <c r="D638" s="108" t="s">
        <v>106</v>
      </c>
      <c r="E638" s="109">
        <v>1.93</v>
      </c>
    </row>
    <row r="639" spans="1:5" ht="15" x14ac:dyDescent="0.3">
      <c r="A639" s="627"/>
      <c r="B639" s="107" t="s">
        <v>743</v>
      </c>
      <c r="C639" s="106" t="s">
        <v>106</v>
      </c>
      <c r="D639" s="110" t="s">
        <v>106</v>
      </c>
      <c r="E639" s="111">
        <v>1.77</v>
      </c>
    </row>
    <row r="640" spans="1:5" ht="15" x14ac:dyDescent="0.3">
      <c r="A640" s="627"/>
      <c r="B640" s="107" t="s">
        <v>744</v>
      </c>
      <c r="C640" s="106" t="s">
        <v>106</v>
      </c>
      <c r="D640" s="108" t="s">
        <v>106</v>
      </c>
      <c r="E640" s="109">
        <v>1.78</v>
      </c>
    </row>
    <row r="641" spans="1:5" ht="15" x14ac:dyDescent="0.3">
      <c r="A641" s="627"/>
      <c r="B641" s="107" t="s">
        <v>745</v>
      </c>
      <c r="C641" s="106" t="s">
        <v>106</v>
      </c>
      <c r="D641" s="110" t="s">
        <v>106</v>
      </c>
      <c r="E641" s="111">
        <v>1.87</v>
      </c>
    </row>
    <row r="642" spans="1:5" ht="15" x14ac:dyDescent="0.3">
      <c r="A642" s="627"/>
      <c r="B642" s="107" t="s">
        <v>746</v>
      </c>
      <c r="C642" s="106" t="s">
        <v>106</v>
      </c>
      <c r="D642" s="108" t="s">
        <v>106</v>
      </c>
      <c r="E642" s="109">
        <v>1.74</v>
      </c>
    </row>
    <row r="643" spans="1:5" ht="15" x14ac:dyDescent="0.3">
      <c r="A643" s="627"/>
      <c r="B643" s="107" t="s">
        <v>747</v>
      </c>
      <c r="C643" s="106" t="s">
        <v>106</v>
      </c>
      <c r="D643" s="110" t="s">
        <v>106</v>
      </c>
      <c r="E643" s="111">
        <v>1.83</v>
      </c>
    </row>
    <row r="644" spans="1:5" ht="15" x14ac:dyDescent="0.3">
      <c r="A644" s="627"/>
      <c r="B644" s="107" t="s">
        <v>748</v>
      </c>
      <c r="C644" s="106" t="s">
        <v>106</v>
      </c>
      <c r="D644" s="108" t="s">
        <v>106</v>
      </c>
      <c r="E644" s="109">
        <v>1.86</v>
      </c>
    </row>
    <row r="645" spans="1:5" ht="15" x14ac:dyDescent="0.3">
      <c r="A645" s="627"/>
      <c r="B645" s="107" t="s">
        <v>749</v>
      </c>
      <c r="C645" s="106" t="s">
        <v>106</v>
      </c>
      <c r="D645" s="110" t="s">
        <v>106</v>
      </c>
      <c r="E645" s="111">
        <v>1.82</v>
      </c>
    </row>
    <row r="646" spans="1:5" ht="15" x14ac:dyDescent="0.3">
      <c r="A646" s="627"/>
      <c r="B646" s="107" t="s">
        <v>750</v>
      </c>
      <c r="C646" s="106" t="s">
        <v>106</v>
      </c>
      <c r="D646" s="108" t="s">
        <v>106</v>
      </c>
      <c r="E646" s="109">
        <v>1.68</v>
      </c>
    </row>
    <row r="647" spans="1:5" ht="15" x14ac:dyDescent="0.3">
      <c r="A647" s="627"/>
      <c r="B647" s="107" t="s">
        <v>751</v>
      </c>
      <c r="C647" s="106" t="s">
        <v>106</v>
      </c>
      <c r="D647" s="110" t="s">
        <v>106</v>
      </c>
      <c r="E647" s="111">
        <v>1.7</v>
      </c>
    </row>
    <row r="648" spans="1:5" ht="15" x14ac:dyDescent="0.3">
      <c r="A648" s="627"/>
      <c r="B648" s="107" t="s">
        <v>752</v>
      </c>
      <c r="C648" s="106" t="s">
        <v>106</v>
      </c>
      <c r="D648" s="108" t="s">
        <v>106</v>
      </c>
      <c r="E648" s="109">
        <v>1.6</v>
      </c>
    </row>
    <row r="649" spans="1:5" ht="15" x14ac:dyDescent="0.3">
      <c r="A649" s="627"/>
      <c r="B649" s="107" t="s">
        <v>753</v>
      </c>
      <c r="C649" s="106" t="s">
        <v>106</v>
      </c>
      <c r="D649" s="110" t="s">
        <v>106</v>
      </c>
      <c r="E649" s="111">
        <v>1.57</v>
      </c>
    </row>
    <row r="650" spans="1:5" ht="15" x14ac:dyDescent="0.3">
      <c r="A650" s="627"/>
      <c r="B650" s="107" t="s">
        <v>754</v>
      </c>
      <c r="C650" s="106" t="s">
        <v>106</v>
      </c>
      <c r="D650" s="108" t="s">
        <v>106</v>
      </c>
      <c r="E650" s="109">
        <v>1.61</v>
      </c>
    </row>
    <row r="651" spans="1:5" ht="15" x14ac:dyDescent="0.3">
      <c r="A651" s="627"/>
      <c r="B651" s="107" t="s">
        <v>755</v>
      </c>
      <c r="C651" s="106" t="s">
        <v>106</v>
      </c>
      <c r="D651" s="110" t="s">
        <v>106</v>
      </c>
      <c r="E651" s="111">
        <v>1.52</v>
      </c>
    </row>
    <row r="652" spans="1:5" ht="15" x14ac:dyDescent="0.3">
      <c r="A652" s="627"/>
      <c r="B652" s="107" t="s">
        <v>756</v>
      </c>
      <c r="C652" s="106" t="s">
        <v>106</v>
      </c>
      <c r="D652" s="108" t="s">
        <v>106</v>
      </c>
      <c r="E652" s="109">
        <v>1.47</v>
      </c>
    </row>
    <row r="653" spans="1:5" ht="15" x14ac:dyDescent="0.3">
      <c r="A653" s="627"/>
      <c r="B653" s="107" t="s">
        <v>757</v>
      </c>
      <c r="C653" s="106" t="s">
        <v>106</v>
      </c>
      <c r="D653" s="110" t="s">
        <v>106</v>
      </c>
      <c r="E653" s="111">
        <v>1.32</v>
      </c>
    </row>
    <row r="654" spans="1:5" ht="15" x14ac:dyDescent="0.3">
      <c r="A654" s="627"/>
      <c r="B654" s="107" t="s">
        <v>758</v>
      </c>
      <c r="C654" s="106" t="s">
        <v>106</v>
      </c>
      <c r="D654" s="108" t="s">
        <v>106</v>
      </c>
      <c r="E654" s="109">
        <v>1.46</v>
      </c>
    </row>
    <row r="655" spans="1:5" ht="15" x14ac:dyDescent="0.3">
      <c r="A655" s="627"/>
      <c r="B655" s="107" t="s">
        <v>759</v>
      </c>
      <c r="C655" s="106" t="s">
        <v>106</v>
      </c>
      <c r="D655" s="110" t="s">
        <v>106</v>
      </c>
      <c r="E655" s="111">
        <v>1.47</v>
      </c>
    </row>
    <row r="656" spans="1:5" ht="15" x14ac:dyDescent="0.3">
      <c r="A656" s="627"/>
      <c r="B656" s="107" t="s">
        <v>760</v>
      </c>
      <c r="C656" s="106" t="s">
        <v>106</v>
      </c>
      <c r="D656" s="108" t="s">
        <v>106</v>
      </c>
      <c r="E656" s="109">
        <v>1.4</v>
      </c>
    </row>
    <row r="657" spans="1:5" ht="15" x14ac:dyDescent="0.3">
      <c r="A657" s="627"/>
      <c r="B657" s="107" t="s">
        <v>761</v>
      </c>
      <c r="C657" s="106" t="s">
        <v>106</v>
      </c>
      <c r="D657" s="110" t="s">
        <v>106</v>
      </c>
      <c r="E657" s="111">
        <v>1.47</v>
      </c>
    </row>
    <row r="658" spans="1:5" ht="15" x14ac:dyDescent="0.3">
      <c r="A658" s="627"/>
      <c r="B658" s="107" t="s">
        <v>762</v>
      </c>
      <c r="C658" s="106" t="s">
        <v>106</v>
      </c>
      <c r="D658" s="108" t="s">
        <v>106</v>
      </c>
      <c r="E658" s="109">
        <v>1.51</v>
      </c>
    </row>
    <row r="659" spans="1:5" ht="15" x14ac:dyDescent="0.3">
      <c r="A659" s="627"/>
      <c r="B659" s="107" t="s">
        <v>763</v>
      </c>
      <c r="C659" s="106" t="s">
        <v>106</v>
      </c>
      <c r="D659" s="110" t="s">
        <v>106</v>
      </c>
      <c r="E659" s="111">
        <v>1.49</v>
      </c>
    </row>
    <row r="660" spans="1:5" ht="15" x14ac:dyDescent="0.3">
      <c r="A660" s="627"/>
      <c r="B660" s="107" t="s">
        <v>764</v>
      </c>
      <c r="C660" s="106" t="s">
        <v>106</v>
      </c>
      <c r="D660" s="108" t="s">
        <v>106</v>
      </c>
      <c r="E660" s="109">
        <v>1.51</v>
      </c>
    </row>
    <row r="661" spans="1:5" ht="15" x14ac:dyDescent="0.3">
      <c r="A661" s="627"/>
      <c r="B661" s="107" t="s">
        <v>765</v>
      </c>
      <c r="C661" s="106" t="s">
        <v>106</v>
      </c>
      <c r="D661" s="110" t="s">
        <v>106</v>
      </c>
      <c r="E661" s="111">
        <v>1.59</v>
      </c>
    </row>
    <row r="662" spans="1:5" ht="15" x14ac:dyDescent="0.3">
      <c r="A662" s="627"/>
      <c r="B662" s="107" t="s">
        <v>766</v>
      </c>
      <c r="C662" s="106" t="s">
        <v>106</v>
      </c>
      <c r="D662" s="108" t="s">
        <v>106</v>
      </c>
      <c r="E662" s="109">
        <v>1.52</v>
      </c>
    </row>
    <row r="663" spans="1:5" ht="15" x14ac:dyDescent="0.3">
      <c r="A663" s="627"/>
      <c r="B663" s="107" t="s">
        <v>767</v>
      </c>
      <c r="C663" s="106" t="s">
        <v>106</v>
      </c>
      <c r="D663" s="110" t="s">
        <v>106</v>
      </c>
      <c r="E663" s="111">
        <v>1.69</v>
      </c>
    </row>
    <row r="664" spans="1:5" ht="15" x14ac:dyDescent="0.3">
      <c r="A664" s="627"/>
      <c r="B664" s="107" t="s">
        <v>768</v>
      </c>
      <c r="C664" s="106" t="s">
        <v>106</v>
      </c>
      <c r="D664" s="108" t="s">
        <v>106</v>
      </c>
      <c r="E664" s="109">
        <v>1.72</v>
      </c>
    </row>
    <row r="665" spans="1:5" ht="15" x14ac:dyDescent="0.3">
      <c r="A665" s="627"/>
      <c r="B665" s="107" t="s">
        <v>769</v>
      </c>
      <c r="C665" s="106" t="s">
        <v>106</v>
      </c>
      <c r="D665" s="110" t="s">
        <v>106</v>
      </c>
      <c r="E665" s="111">
        <v>1.8</v>
      </c>
    </row>
    <row r="666" spans="1:5" ht="15" x14ac:dyDescent="0.3">
      <c r="A666" s="627"/>
      <c r="B666" s="107" t="s">
        <v>770</v>
      </c>
      <c r="C666" s="106" t="s">
        <v>106</v>
      </c>
      <c r="D666" s="108" t="s">
        <v>106</v>
      </c>
      <c r="E666" s="109">
        <v>1.86</v>
      </c>
    </row>
    <row r="667" spans="1:5" ht="15" x14ac:dyDescent="0.3">
      <c r="A667" s="627"/>
      <c r="B667" s="107" t="s">
        <v>771</v>
      </c>
      <c r="C667" s="106" t="s">
        <v>106</v>
      </c>
      <c r="D667" s="110" t="s">
        <v>106</v>
      </c>
      <c r="E667" s="111">
        <v>1.94</v>
      </c>
    </row>
    <row r="668" spans="1:5" ht="15" x14ac:dyDescent="0.3">
      <c r="A668" s="627"/>
      <c r="B668" s="107" t="s">
        <v>772</v>
      </c>
      <c r="C668" s="106" t="s">
        <v>106</v>
      </c>
      <c r="D668" s="108" t="s">
        <v>106</v>
      </c>
      <c r="E668" s="109">
        <v>1.95</v>
      </c>
    </row>
    <row r="669" spans="1:5" ht="15" x14ac:dyDescent="0.3">
      <c r="A669" s="627"/>
      <c r="B669" s="107" t="s">
        <v>773</v>
      </c>
      <c r="C669" s="106" t="s">
        <v>106</v>
      </c>
      <c r="D669" s="110" t="s">
        <v>106</v>
      </c>
      <c r="E669" s="111">
        <v>1.97</v>
      </c>
    </row>
    <row r="670" spans="1:5" ht="15" x14ac:dyDescent="0.3">
      <c r="A670" s="627"/>
      <c r="B670" s="107" t="s">
        <v>774</v>
      </c>
      <c r="C670" s="106" t="s">
        <v>106</v>
      </c>
      <c r="D670" s="108" t="s">
        <v>106</v>
      </c>
      <c r="E670" s="109">
        <v>1.98</v>
      </c>
    </row>
    <row r="671" spans="1:5" ht="15" x14ac:dyDescent="0.3">
      <c r="A671" s="627"/>
      <c r="B671" s="107" t="s">
        <v>775</v>
      </c>
      <c r="C671" s="106" t="s">
        <v>106</v>
      </c>
      <c r="D671" s="110" t="s">
        <v>106</v>
      </c>
      <c r="E671" s="111">
        <v>2.16</v>
      </c>
    </row>
    <row r="672" spans="1:5" ht="15" x14ac:dyDescent="0.3">
      <c r="A672" s="627"/>
      <c r="B672" s="107" t="s">
        <v>776</v>
      </c>
      <c r="C672" s="106" t="s">
        <v>106</v>
      </c>
      <c r="D672" s="108" t="s">
        <v>106</v>
      </c>
      <c r="E672" s="109">
        <v>2.12</v>
      </c>
    </row>
    <row r="673" spans="1:5" ht="15" x14ac:dyDescent="0.3">
      <c r="A673" s="627"/>
      <c r="B673" s="107" t="s">
        <v>777</v>
      </c>
      <c r="C673" s="106" t="s">
        <v>106</v>
      </c>
      <c r="D673" s="110" t="s">
        <v>106</v>
      </c>
      <c r="E673" s="111">
        <v>2.1800000000000002</v>
      </c>
    </row>
    <row r="674" spans="1:5" ht="15" x14ac:dyDescent="0.3">
      <c r="A674" s="627"/>
      <c r="B674" s="107" t="s">
        <v>778</v>
      </c>
      <c r="C674" s="106" t="s">
        <v>106</v>
      </c>
      <c r="D674" s="108" t="s">
        <v>106</v>
      </c>
      <c r="E674" s="109">
        <v>2.25</v>
      </c>
    </row>
    <row r="675" spans="1:5" ht="15" x14ac:dyDescent="0.3">
      <c r="A675" s="627"/>
      <c r="B675" s="107" t="s">
        <v>779</v>
      </c>
      <c r="C675" s="106" t="s">
        <v>106</v>
      </c>
      <c r="D675" s="110" t="s">
        <v>106</v>
      </c>
      <c r="E675" s="111">
        <v>2.23</v>
      </c>
    </row>
    <row r="676" spans="1:5" ht="15" x14ac:dyDescent="0.3">
      <c r="A676" s="627"/>
      <c r="B676" s="107" t="s">
        <v>780</v>
      </c>
      <c r="C676" s="106" t="s">
        <v>106</v>
      </c>
      <c r="D676" s="108" t="s">
        <v>106</v>
      </c>
      <c r="E676" s="109">
        <v>2.2599999999999998</v>
      </c>
    </row>
    <row r="677" spans="1:5" ht="15" x14ac:dyDescent="0.3">
      <c r="A677" s="627"/>
      <c r="B677" s="107" t="s">
        <v>781</v>
      </c>
      <c r="C677" s="106" t="s">
        <v>106</v>
      </c>
      <c r="D677" s="110" t="s">
        <v>106</v>
      </c>
      <c r="E677" s="111">
        <v>2.21</v>
      </c>
    </row>
    <row r="678" spans="1:5" ht="15" x14ac:dyDescent="0.3">
      <c r="A678" s="627"/>
      <c r="B678" s="107" t="s">
        <v>782</v>
      </c>
      <c r="C678" s="106" t="s">
        <v>106</v>
      </c>
      <c r="D678" s="108" t="s">
        <v>106</v>
      </c>
      <c r="E678" s="109">
        <v>2.21</v>
      </c>
    </row>
    <row r="679" spans="1:5" ht="15" x14ac:dyDescent="0.3">
      <c r="A679" s="627"/>
      <c r="B679" s="107" t="s">
        <v>783</v>
      </c>
      <c r="C679" s="106" t="s">
        <v>106</v>
      </c>
      <c r="D679" s="110" t="s">
        <v>106</v>
      </c>
      <c r="E679" s="111">
        <v>2.21</v>
      </c>
    </row>
    <row r="680" spans="1:5" ht="15" x14ac:dyDescent="0.3">
      <c r="A680" s="627"/>
      <c r="B680" s="107" t="s">
        <v>784</v>
      </c>
      <c r="C680" s="106" t="s">
        <v>106</v>
      </c>
      <c r="D680" s="108" t="s">
        <v>106</v>
      </c>
      <c r="E680" s="109">
        <v>2.37</v>
      </c>
    </row>
    <row r="681" spans="1:5" ht="15" x14ac:dyDescent="0.3">
      <c r="A681" s="627"/>
      <c r="B681" s="107" t="s">
        <v>785</v>
      </c>
      <c r="C681" s="106" t="s">
        <v>106</v>
      </c>
      <c r="D681" s="110" t="s">
        <v>106</v>
      </c>
      <c r="E681" s="111">
        <v>2.35</v>
      </c>
    </row>
    <row r="682" spans="1:5" ht="15" x14ac:dyDescent="0.3">
      <c r="A682" s="627"/>
      <c r="B682" s="107" t="s">
        <v>786</v>
      </c>
      <c r="C682" s="106" t="s">
        <v>106</v>
      </c>
      <c r="D682" s="108" t="s">
        <v>106</v>
      </c>
      <c r="E682" s="109">
        <v>2.31</v>
      </c>
    </row>
    <row r="683" spans="1:5" ht="15" x14ac:dyDescent="0.3">
      <c r="A683" s="627"/>
      <c r="B683" s="107" t="s">
        <v>787</v>
      </c>
      <c r="C683" s="106" t="s">
        <v>106</v>
      </c>
      <c r="D683" s="110" t="s">
        <v>106</v>
      </c>
      <c r="E683" s="111">
        <v>2.34</v>
      </c>
    </row>
    <row r="684" spans="1:5" ht="15" x14ac:dyDescent="0.3">
      <c r="A684" s="627"/>
      <c r="B684" s="107" t="s">
        <v>788</v>
      </c>
      <c r="C684" s="106" t="s">
        <v>106</v>
      </c>
      <c r="D684" s="108" t="s">
        <v>106</v>
      </c>
      <c r="E684" s="109">
        <v>2.33</v>
      </c>
    </row>
    <row r="685" spans="1:5" ht="15" x14ac:dyDescent="0.3">
      <c r="A685" s="627"/>
      <c r="B685" s="107" t="s">
        <v>789</v>
      </c>
      <c r="C685" s="106" t="s">
        <v>106</v>
      </c>
      <c r="D685" s="110" t="s">
        <v>106</v>
      </c>
      <c r="E685" s="111">
        <v>2.37</v>
      </c>
    </row>
    <row r="686" spans="1:5" ht="15" x14ac:dyDescent="0.3">
      <c r="A686" s="627"/>
      <c r="B686" s="107" t="s">
        <v>790</v>
      </c>
      <c r="C686" s="106" t="s">
        <v>106</v>
      </c>
      <c r="D686" s="108" t="s">
        <v>106</v>
      </c>
      <c r="E686" s="109">
        <v>2.38</v>
      </c>
    </row>
    <row r="687" spans="1:5" ht="15" x14ac:dyDescent="0.3">
      <c r="A687" s="627"/>
      <c r="B687" s="107" t="s">
        <v>791</v>
      </c>
      <c r="C687" s="106" t="s">
        <v>106</v>
      </c>
      <c r="D687" s="110" t="s">
        <v>106</v>
      </c>
      <c r="E687" s="111">
        <v>2.46</v>
      </c>
    </row>
    <row r="688" spans="1:5" ht="15" x14ac:dyDescent="0.3">
      <c r="A688" s="627"/>
      <c r="B688" s="107" t="s">
        <v>792</v>
      </c>
      <c r="C688" s="106" t="s">
        <v>106</v>
      </c>
      <c r="D688" s="108" t="s">
        <v>106</v>
      </c>
      <c r="E688" s="109">
        <v>2.4500000000000002</v>
      </c>
    </row>
    <row r="689" spans="1:5" ht="15" x14ac:dyDescent="0.3">
      <c r="A689" s="627"/>
      <c r="B689" s="107" t="s">
        <v>793</v>
      </c>
      <c r="C689" s="106" t="s">
        <v>106</v>
      </c>
      <c r="D689" s="110" t="s">
        <v>106</v>
      </c>
      <c r="E689" s="111">
        <v>2.44</v>
      </c>
    </row>
    <row r="690" spans="1:5" ht="15" x14ac:dyDescent="0.3">
      <c r="A690" s="627"/>
      <c r="B690" s="107" t="s">
        <v>794</v>
      </c>
      <c r="C690" s="106" t="s">
        <v>106</v>
      </c>
      <c r="D690" s="108" t="s">
        <v>106</v>
      </c>
      <c r="E690" s="109">
        <v>2.56</v>
      </c>
    </row>
    <row r="691" spans="1:5" ht="15" x14ac:dyDescent="0.3">
      <c r="A691" s="627"/>
      <c r="B691" s="107" t="s">
        <v>795</v>
      </c>
      <c r="C691" s="106" t="s">
        <v>106</v>
      </c>
      <c r="D691" s="110" t="s">
        <v>106</v>
      </c>
      <c r="E691" s="111">
        <v>2.72</v>
      </c>
    </row>
    <row r="692" spans="1:5" ht="15" x14ac:dyDescent="0.3">
      <c r="A692" s="627"/>
      <c r="B692" s="107" t="s">
        <v>796</v>
      </c>
      <c r="C692" s="106" t="s">
        <v>106</v>
      </c>
      <c r="D692" s="108" t="s">
        <v>106</v>
      </c>
      <c r="E692" s="109">
        <v>2.75</v>
      </c>
    </row>
    <row r="693" spans="1:5" ht="15" x14ac:dyDescent="0.3">
      <c r="A693" s="627"/>
      <c r="B693" s="107" t="s">
        <v>797</v>
      </c>
      <c r="C693" s="106" t="s">
        <v>106</v>
      </c>
      <c r="D693" s="110" t="s">
        <v>106</v>
      </c>
      <c r="E693" s="111">
        <v>2.93</v>
      </c>
    </row>
    <row r="694" spans="1:5" ht="15" x14ac:dyDescent="0.3">
      <c r="A694" s="627"/>
      <c r="B694" s="107" t="s">
        <v>798</v>
      </c>
      <c r="C694" s="106" t="s">
        <v>106</v>
      </c>
      <c r="D694" s="108" t="s">
        <v>106</v>
      </c>
      <c r="E694" s="109">
        <v>2.92</v>
      </c>
    </row>
    <row r="695" spans="1:5" ht="15" x14ac:dyDescent="0.3">
      <c r="A695" s="627"/>
      <c r="B695" s="107" t="s">
        <v>799</v>
      </c>
      <c r="C695" s="106" t="s">
        <v>106</v>
      </c>
      <c r="D695" s="110" t="s">
        <v>106</v>
      </c>
      <c r="E695" s="111">
        <v>2.78</v>
      </c>
    </row>
    <row r="696" spans="1:5" ht="15" x14ac:dyDescent="0.3">
      <c r="A696" s="627"/>
      <c r="B696" s="107" t="s">
        <v>800</v>
      </c>
      <c r="C696" s="106" t="s">
        <v>106</v>
      </c>
      <c r="D696" s="108" t="s">
        <v>106</v>
      </c>
      <c r="E696" s="109">
        <v>2.77</v>
      </c>
    </row>
    <row r="697" spans="1:5" ht="15" x14ac:dyDescent="0.3">
      <c r="A697" s="627"/>
      <c r="B697" s="107" t="s">
        <v>801</v>
      </c>
      <c r="C697" s="106" t="s">
        <v>106</v>
      </c>
      <c r="D697" s="110" t="s">
        <v>106</v>
      </c>
      <c r="E697" s="111">
        <v>2.46</v>
      </c>
    </row>
    <row r="698" spans="1:5" ht="15" x14ac:dyDescent="0.3">
      <c r="A698" s="627"/>
      <c r="B698" s="107" t="s">
        <v>802</v>
      </c>
      <c r="C698" s="106" t="s">
        <v>106</v>
      </c>
      <c r="D698" s="108" t="s">
        <v>106</v>
      </c>
      <c r="E698" s="109">
        <v>2.6</v>
      </c>
    </row>
    <row r="699" spans="1:5" ht="15" x14ac:dyDescent="0.3">
      <c r="A699" s="627"/>
      <c r="B699" s="107" t="s">
        <v>803</v>
      </c>
      <c r="C699" s="106" t="s">
        <v>106</v>
      </c>
      <c r="D699" s="110" t="s">
        <v>106</v>
      </c>
      <c r="E699" s="111">
        <v>2.66</v>
      </c>
    </row>
    <row r="700" spans="1:5" ht="15" x14ac:dyDescent="0.3">
      <c r="A700" s="627"/>
      <c r="B700" s="107" t="s">
        <v>804</v>
      </c>
      <c r="C700" s="106" t="s">
        <v>106</v>
      </c>
      <c r="D700" s="108" t="s">
        <v>106</v>
      </c>
      <c r="E700" s="109">
        <v>2.78</v>
      </c>
    </row>
    <row r="701" spans="1:5" ht="15" x14ac:dyDescent="0.3">
      <c r="A701" s="627"/>
      <c r="B701" s="107" t="s">
        <v>805</v>
      </c>
      <c r="C701" s="106" t="s">
        <v>106</v>
      </c>
      <c r="D701" s="110" t="s">
        <v>106</v>
      </c>
      <c r="E701" s="111">
        <v>2.83</v>
      </c>
    </row>
    <row r="702" spans="1:5" ht="15" x14ac:dyDescent="0.3">
      <c r="A702" s="627"/>
      <c r="B702" s="107" t="s">
        <v>806</v>
      </c>
      <c r="C702" s="106" t="s">
        <v>106</v>
      </c>
      <c r="D702" s="108" t="s">
        <v>106</v>
      </c>
      <c r="E702" s="109">
        <v>2.93</v>
      </c>
    </row>
    <row r="703" spans="1:5" ht="15" x14ac:dyDescent="0.3">
      <c r="A703" s="627"/>
      <c r="B703" s="107" t="s">
        <v>807</v>
      </c>
      <c r="C703" s="106" t="s">
        <v>106</v>
      </c>
      <c r="D703" s="110" t="s">
        <v>106</v>
      </c>
      <c r="E703" s="111">
        <v>2.96</v>
      </c>
    </row>
    <row r="704" spans="1:5" ht="15" x14ac:dyDescent="0.3">
      <c r="A704" s="627"/>
      <c r="B704" s="107" t="s">
        <v>808</v>
      </c>
      <c r="C704" s="106" t="s">
        <v>106</v>
      </c>
      <c r="D704" s="108" t="s">
        <v>106</v>
      </c>
      <c r="E704" s="109">
        <v>2.96</v>
      </c>
    </row>
    <row r="705" spans="1:5" ht="15" x14ac:dyDescent="0.3">
      <c r="A705" s="627"/>
      <c r="B705" s="107" t="s">
        <v>809</v>
      </c>
      <c r="C705" s="106" t="s">
        <v>106</v>
      </c>
      <c r="D705" s="110" t="s">
        <v>106</v>
      </c>
      <c r="E705" s="111">
        <v>2.85</v>
      </c>
    </row>
    <row r="706" spans="1:5" ht="15" x14ac:dyDescent="0.3">
      <c r="A706" s="627"/>
      <c r="B706" s="107" t="s">
        <v>810</v>
      </c>
      <c r="C706" s="106" t="s">
        <v>106</v>
      </c>
      <c r="D706" s="108" t="s">
        <v>106</v>
      </c>
      <c r="E706" s="109">
        <v>2.9</v>
      </c>
    </row>
    <row r="707" spans="1:5" ht="15" x14ac:dyDescent="0.3">
      <c r="A707" s="627"/>
      <c r="B707" s="107" t="s">
        <v>811</v>
      </c>
      <c r="C707" s="106" t="s">
        <v>106</v>
      </c>
      <c r="D707" s="110" t="s">
        <v>106</v>
      </c>
      <c r="E707" s="111">
        <v>2.96</v>
      </c>
    </row>
    <row r="708" spans="1:5" ht="15" x14ac:dyDescent="0.3">
      <c r="A708" s="627"/>
      <c r="B708" s="107" t="s">
        <v>812</v>
      </c>
      <c r="C708" s="106" t="s">
        <v>106</v>
      </c>
      <c r="D708" s="108" t="s">
        <v>106</v>
      </c>
      <c r="E708" s="109">
        <v>2.99</v>
      </c>
    </row>
    <row r="709" spans="1:5" ht="15" x14ac:dyDescent="0.3">
      <c r="A709" s="627"/>
      <c r="B709" s="107" t="s">
        <v>813</v>
      </c>
      <c r="C709" s="106" t="s">
        <v>106</v>
      </c>
      <c r="D709" s="110" t="s">
        <v>106</v>
      </c>
      <c r="E709" s="111">
        <v>3.08</v>
      </c>
    </row>
    <row r="710" spans="1:5" ht="15" x14ac:dyDescent="0.3">
      <c r="A710" s="627"/>
      <c r="B710" s="107" t="s">
        <v>814</v>
      </c>
      <c r="C710" s="106" t="s">
        <v>106</v>
      </c>
      <c r="D710" s="108" t="s">
        <v>106</v>
      </c>
      <c r="E710" s="109">
        <v>3.09</v>
      </c>
    </row>
    <row r="711" spans="1:5" ht="15" x14ac:dyDescent="0.3">
      <c r="A711" s="627"/>
      <c r="B711" s="107" t="s">
        <v>815</v>
      </c>
      <c r="C711" s="106" t="s">
        <v>106</v>
      </c>
      <c r="D711" s="110" t="s">
        <v>106</v>
      </c>
      <c r="E711" s="111">
        <v>3.02</v>
      </c>
    </row>
    <row r="712" spans="1:5" ht="15" x14ac:dyDescent="0.3">
      <c r="A712" s="627"/>
      <c r="B712" s="107" t="s">
        <v>816</v>
      </c>
      <c r="C712" s="106" t="s">
        <v>106</v>
      </c>
      <c r="D712" s="108" t="s">
        <v>106</v>
      </c>
      <c r="E712" s="109">
        <v>2.84</v>
      </c>
    </row>
    <row r="713" spans="1:5" ht="15" x14ac:dyDescent="0.3">
      <c r="A713" s="627"/>
      <c r="B713" s="107" t="s">
        <v>817</v>
      </c>
      <c r="C713" s="106" t="s">
        <v>106</v>
      </c>
      <c r="D713" s="110" t="s">
        <v>106</v>
      </c>
      <c r="E713" s="111">
        <v>2.76</v>
      </c>
    </row>
    <row r="714" spans="1:5" ht="15" x14ac:dyDescent="0.3">
      <c r="A714" s="627"/>
      <c r="B714" s="107" t="s">
        <v>818</v>
      </c>
      <c r="C714" s="106" t="s">
        <v>106</v>
      </c>
      <c r="D714" s="108" t="s">
        <v>106</v>
      </c>
      <c r="E714" s="109">
        <v>2.78</v>
      </c>
    </row>
    <row r="715" spans="1:5" ht="15" x14ac:dyDescent="0.3">
      <c r="A715" s="627"/>
      <c r="B715" s="107" t="s">
        <v>819</v>
      </c>
      <c r="C715" s="106" t="s">
        <v>106</v>
      </c>
      <c r="D715" s="110" t="s">
        <v>106</v>
      </c>
      <c r="E715" s="111">
        <v>2.62</v>
      </c>
    </row>
    <row r="716" spans="1:5" ht="15" x14ac:dyDescent="0.3">
      <c r="A716" s="627"/>
      <c r="B716" s="107" t="s">
        <v>820</v>
      </c>
      <c r="C716" s="106" t="s">
        <v>106</v>
      </c>
      <c r="D716" s="108" t="s">
        <v>106</v>
      </c>
      <c r="E716" s="109">
        <v>2.74</v>
      </c>
    </row>
    <row r="717" spans="1:5" ht="15" x14ac:dyDescent="0.3">
      <c r="A717" s="627"/>
      <c r="B717" s="107" t="s">
        <v>821</v>
      </c>
      <c r="C717" s="106" t="s">
        <v>106</v>
      </c>
      <c r="D717" s="110" t="s">
        <v>106</v>
      </c>
      <c r="E717" s="111">
        <v>2.74</v>
      </c>
    </row>
    <row r="718" spans="1:5" ht="15" x14ac:dyDescent="0.3">
      <c r="A718" s="627"/>
      <c r="B718" s="107" t="s">
        <v>822</v>
      </c>
      <c r="C718" s="106" t="s">
        <v>106</v>
      </c>
      <c r="D718" s="108" t="s">
        <v>106</v>
      </c>
      <c r="E718" s="109">
        <v>2.83</v>
      </c>
    </row>
    <row r="719" spans="1:5" ht="15" x14ac:dyDescent="0.3">
      <c r="A719" s="627"/>
      <c r="B719" s="107" t="s">
        <v>823</v>
      </c>
      <c r="C719" s="106" t="s">
        <v>106</v>
      </c>
      <c r="D719" s="110" t="s">
        <v>106</v>
      </c>
      <c r="E719" s="111">
        <v>2.83</v>
      </c>
    </row>
    <row r="720" spans="1:5" ht="15" x14ac:dyDescent="0.3">
      <c r="A720" s="627"/>
      <c r="B720" s="107" t="s">
        <v>824</v>
      </c>
      <c r="C720" s="106" t="s">
        <v>106</v>
      </c>
      <c r="D720" s="108" t="s">
        <v>106</v>
      </c>
      <c r="E720" s="109">
        <v>2.86</v>
      </c>
    </row>
    <row r="721" spans="1:5" ht="15" x14ac:dyDescent="0.3">
      <c r="A721" s="627"/>
      <c r="B721" s="107" t="s">
        <v>825</v>
      </c>
      <c r="C721" s="106" t="s">
        <v>106</v>
      </c>
      <c r="D721" s="110" t="s">
        <v>106</v>
      </c>
      <c r="E721" s="111">
        <v>2.89</v>
      </c>
    </row>
    <row r="722" spans="1:5" ht="15" x14ac:dyDescent="0.3">
      <c r="A722" s="627"/>
      <c r="B722" s="107" t="s">
        <v>826</v>
      </c>
      <c r="C722" s="106" t="s">
        <v>106</v>
      </c>
      <c r="D722" s="108" t="s">
        <v>106</v>
      </c>
      <c r="E722" s="109">
        <v>2.83</v>
      </c>
    </row>
    <row r="723" spans="1:5" ht="15" x14ac:dyDescent="0.3">
      <c r="A723" s="627"/>
      <c r="B723" s="107" t="s">
        <v>827</v>
      </c>
      <c r="C723" s="106" t="s">
        <v>106</v>
      </c>
      <c r="D723" s="110" t="s">
        <v>106</v>
      </c>
      <c r="E723" s="111">
        <v>2.77</v>
      </c>
    </row>
    <row r="724" spans="1:5" ht="15" x14ac:dyDescent="0.3">
      <c r="A724" s="627"/>
      <c r="B724" s="107" t="s">
        <v>828</v>
      </c>
      <c r="C724" s="106" t="s">
        <v>106</v>
      </c>
      <c r="D724" s="108" t="s">
        <v>106</v>
      </c>
      <c r="E724" s="109">
        <v>2.72</v>
      </c>
    </row>
    <row r="725" spans="1:5" ht="15" x14ac:dyDescent="0.3">
      <c r="A725" s="627"/>
      <c r="B725" s="107" t="s">
        <v>829</v>
      </c>
      <c r="C725" s="106" t="s">
        <v>106</v>
      </c>
      <c r="D725" s="110" t="s">
        <v>106</v>
      </c>
      <c r="E725" s="111">
        <v>2.67</v>
      </c>
    </row>
    <row r="726" spans="1:5" ht="15" x14ac:dyDescent="0.3">
      <c r="A726" s="627"/>
      <c r="B726" s="107" t="s">
        <v>830</v>
      </c>
      <c r="C726" s="106" t="s">
        <v>106</v>
      </c>
      <c r="D726" s="108" t="s">
        <v>106</v>
      </c>
      <c r="E726" s="109">
        <v>2.65</v>
      </c>
    </row>
    <row r="727" spans="1:5" ht="15" x14ac:dyDescent="0.3">
      <c r="A727" s="627"/>
      <c r="B727" s="107" t="s">
        <v>831</v>
      </c>
      <c r="C727" s="106" t="s">
        <v>106</v>
      </c>
      <c r="D727" s="110" t="s">
        <v>106</v>
      </c>
      <c r="E727" s="111">
        <v>2.5299999999999998</v>
      </c>
    </row>
    <row r="728" spans="1:5" ht="15" x14ac:dyDescent="0.3">
      <c r="A728" s="627"/>
      <c r="B728" s="107" t="s">
        <v>832</v>
      </c>
      <c r="C728" s="106" t="s">
        <v>106</v>
      </c>
      <c r="D728" s="108" t="s">
        <v>106</v>
      </c>
      <c r="E728" s="109">
        <v>2.62</v>
      </c>
    </row>
    <row r="729" spans="1:5" ht="15" x14ac:dyDescent="0.3">
      <c r="A729" s="627"/>
      <c r="B729" s="107" t="s">
        <v>833</v>
      </c>
      <c r="C729" s="106" t="s">
        <v>106</v>
      </c>
      <c r="D729" s="110" t="s">
        <v>106</v>
      </c>
      <c r="E729" s="111">
        <v>2.57</v>
      </c>
    </row>
    <row r="730" spans="1:5" ht="15" x14ac:dyDescent="0.3">
      <c r="A730" s="627"/>
      <c r="B730" s="107" t="s">
        <v>834</v>
      </c>
      <c r="C730" s="106" t="s">
        <v>106</v>
      </c>
      <c r="D730" s="108" t="s">
        <v>106</v>
      </c>
      <c r="E730" s="109">
        <v>2.5499999999999998</v>
      </c>
    </row>
    <row r="731" spans="1:5" ht="15" x14ac:dyDescent="0.3">
      <c r="A731" s="627"/>
      <c r="B731" s="107" t="s">
        <v>835</v>
      </c>
      <c r="C731" s="106" t="s">
        <v>106</v>
      </c>
      <c r="D731" s="110" t="s">
        <v>106</v>
      </c>
      <c r="E731" s="111">
        <v>2.5299999999999998</v>
      </c>
    </row>
    <row r="732" spans="1:5" ht="15" x14ac:dyDescent="0.3">
      <c r="A732" s="627"/>
      <c r="B732" s="107" t="s">
        <v>836</v>
      </c>
      <c r="C732" s="106" t="s">
        <v>106</v>
      </c>
      <c r="D732" s="108" t="s">
        <v>106</v>
      </c>
      <c r="E732" s="109">
        <v>2.38</v>
      </c>
    </row>
    <row r="733" spans="1:5" ht="15" x14ac:dyDescent="0.3">
      <c r="A733" s="627"/>
      <c r="B733" s="107" t="s">
        <v>837</v>
      </c>
      <c r="C733" s="106" t="s">
        <v>106</v>
      </c>
      <c r="D733" s="110" t="s">
        <v>106</v>
      </c>
      <c r="E733" s="111">
        <v>2.4700000000000002</v>
      </c>
    </row>
    <row r="734" spans="1:5" ht="15" x14ac:dyDescent="0.3">
      <c r="A734" s="627"/>
      <c r="B734" s="107" t="s">
        <v>838</v>
      </c>
      <c r="C734" s="106" t="s">
        <v>106</v>
      </c>
      <c r="D734" s="108" t="s">
        <v>106</v>
      </c>
      <c r="E734" s="109">
        <v>2.5499999999999998</v>
      </c>
    </row>
    <row r="735" spans="1:5" ht="15" x14ac:dyDescent="0.3">
      <c r="A735" s="627"/>
      <c r="B735" s="107" t="s">
        <v>839</v>
      </c>
      <c r="C735" s="106" t="s">
        <v>106</v>
      </c>
      <c r="D735" s="110" t="s">
        <v>106</v>
      </c>
      <c r="E735" s="111">
        <v>2.48</v>
      </c>
    </row>
    <row r="736" spans="1:5" ht="15" x14ac:dyDescent="0.3">
      <c r="A736" s="627"/>
      <c r="B736" s="107" t="s">
        <v>840</v>
      </c>
      <c r="C736" s="106" t="s">
        <v>106</v>
      </c>
      <c r="D736" s="108" t="s">
        <v>106</v>
      </c>
      <c r="E736" s="109">
        <v>2.4900000000000002</v>
      </c>
    </row>
    <row r="737" spans="1:5" ht="15" x14ac:dyDescent="0.3">
      <c r="A737" s="627"/>
      <c r="B737" s="107" t="s">
        <v>841</v>
      </c>
      <c r="C737" s="106" t="s">
        <v>106</v>
      </c>
      <c r="D737" s="110" t="s">
        <v>106</v>
      </c>
      <c r="E737" s="111">
        <v>2.4</v>
      </c>
    </row>
    <row r="738" spans="1:5" ht="15" x14ac:dyDescent="0.3">
      <c r="A738" s="627"/>
      <c r="B738" s="107" t="s">
        <v>842</v>
      </c>
      <c r="C738" s="106" t="s">
        <v>106</v>
      </c>
      <c r="D738" s="108" t="s">
        <v>106</v>
      </c>
      <c r="E738" s="109">
        <v>2.33</v>
      </c>
    </row>
    <row r="739" spans="1:5" ht="15" x14ac:dyDescent="0.3">
      <c r="A739" s="627"/>
      <c r="B739" s="107" t="s">
        <v>843</v>
      </c>
      <c r="C739" s="106" t="s">
        <v>106</v>
      </c>
      <c r="D739" s="110" t="s">
        <v>106</v>
      </c>
      <c r="E739" s="111">
        <v>2.41</v>
      </c>
    </row>
    <row r="740" spans="1:5" ht="15" x14ac:dyDescent="0.3">
      <c r="A740" s="627"/>
      <c r="B740" s="107" t="s">
        <v>844</v>
      </c>
      <c r="C740" s="106" t="s">
        <v>106</v>
      </c>
      <c r="D740" s="108" t="s">
        <v>106</v>
      </c>
      <c r="E740" s="109">
        <v>2.4300000000000002</v>
      </c>
    </row>
    <row r="741" spans="1:5" ht="15" x14ac:dyDescent="0.3">
      <c r="A741" s="627"/>
      <c r="B741" s="107" t="s">
        <v>845</v>
      </c>
      <c r="C741" s="106" t="s">
        <v>106</v>
      </c>
      <c r="D741" s="110" t="s">
        <v>106</v>
      </c>
      <c r="E741" s="111">
        <v>2.38</v>
      </c>
    </row>
    <row r="742" spans="1:5" ht="15" x14ac:dyDescent="0.3">
      <c r="A742" s="627"/>
      <c r="B742" s="107" t="s">
        <v>846</v>
      </c>
      <c r="C742" s="106" t="s">
        <v>106</v>
      </c>
      <c r="D742" s="108" t="s">
        <v>106</v>
      </c>
      <c r="E742" s="109">
        <v>2.33</v>
      </c>
    </row>
    <row r="743" spans="1:5" ht="15" x14ac:dyDescent="0.3">
      <c r="A743" s="627"/>
      <c r="B743" s="107" t="s">
        <v>847</v>
      </c>
      <c r="C743" s="106" t="s">
        <v>106</v>
      </c>
      <c r="D743" s="110" t="s">
        <v>106</v>
      </c>
      <c r="E743" s="111">
        <v>2.4300000000000002</v>
      </c>
    </row>
    <row r="744" spans="1:5" ht="15" x14ac:dyDescent="0.3">
      <c r="A744" s="627"/>
      <c r="B744" s="107" t="s">
        <v>848</v>
      </c>
      <c r="C744" s="106" t="s">
        <v>106</v>
      </c>
      <c r="D744" s="108" t="s">
        <v>106</v>
      </c>
      <c r="E744" s="109">
        <v>2.5099999999999998</v>
      </c>
    </row>
    <row r="745" spans="1:5" ht="15" x14ac:dyDescent="0.3">
      <c r="A745" s="627"/>
      <c r="B745" s="107" t="s">
        <v>849</v>
      </c>
      <c r="C745" s="106" t="s">
        <v>106</v>
      </c>
      <c r="D745" s="110" t="s">
        <v>106</v>
      </c>
      <c r="E745" s="111">
        <v>2.52</v>
      </c>
    </row>
    <row r="746" spans="1:5" ht="15" x14ac:dyDescent="0.3">
      <c r="A746" s="627"/>
      <c r="B746" s="107" t="s">
        <v>850</v>
      </c>
      <c r="C746" s="106" t="s">
        <v>106</v>
      </c>
      <c r="D746" s="108" t="s">
        <v>106</v>
      </c>
      <c r="E746" s="109">
        <v>2.5299999999999998</v>
      </c>
    </row>
    <row r="747" spans="1:5" ht="15" x14ac:dyDescent="0.3">
      <c r="A747" s="627"/>
      <c r="B747" s="107" t="s">
        <v>851</v>
      </c>
      <c r="C747" s="106" t="s">
        <v>106</v>
      </c>
      <c r="D747" s="110" t="s">
        <v>106</v>
      </c>
      <c r="E747" s="111">
        <v>2.5099999999999998</v>
      </c>
    </row>
    <row r="748" spans="1:5" ht="15" x14ac:dyDescent="0.3">
      <c r="A748" s="627"/>
      <c r="B748" s="107" t="s">
        <v>852</v>
      </c>
      <c r="C748" s="106" t="s">
        <v>106</v>
      </c>
      <c r="D748" s="108" t="s">
        <v>106</v>
      </c>
      <c r="E748" s="109">
        <v>2.83</v>
      </c>
    </row>
    <row r="749" spans="1:5" ht="15" x14ac:dyDescent="0.3">
      <c r="A749" s="627"/>
      <c r="B749" s="107" t="s">
        <v>853</v>
      </c>
      <c r="C749" s="106" t="s">
        <v>106</v>
      </c>
      <c r="D749" s="110" t="s">
        <v>106</v>
      </c>
      <c r="E749" s="111">
        <v>2.84</v>
      </c>
    </row>
    <row r="750" spans="1:5" ht="15" x14ac:dyDescent="0.3">
      <c r="A750" s="627"/>
      <c r="B750" s="107" t="s">
        <v>854</v>
      </c>
      <c r="C750" s="106" t="s">
        <v>106</v>
      </c>
      <c r="D750" s="108" t="s">
        <v>106</v>
      </c>
      <c r="E750" s="109">
        <v>2.92</v>
      </c>
    </row>
    <row r="751" spans="1:5" ht="15" x14ac:dyDescent="0.3">
      <c r="A751" s="627"/>
      <c r="B751" s="107" t="s">
        <v>855</v>
      </c>
      <c r="C751" s="106" t="s">
        <v>106</v>
      </c>
      <c r="D751" s="110" t="s">
        <v>106</v>
      </c>
      <c r="E751" s="111">
        <v>2.91</v>
      </c>
    </row>
    <row r="752" spans="1:5" ht="15" x14ac:dyDescent="0.3">
      <c r="A752" s="627"/>
      <c r="B752" s="107" t="s">
        <v>856</v>
      </c>
      <c r="C752" s="106" t="s">
        <v>106</v>
      </c>
      <c r="D752" s="108" t="s">
        <v>106</v>
      </c>
      <c r="E752" s="109">
        <v>2.94</v>
      </c>
    </row>
    <row r="753" spans="1:5" ht="15" x14ac:dyDescent="0.3">
      <c r="A753" s="627"/>
      <c r="B753" s="107" t="s">
        <v>857</v>
      </c>
      <c r="C753" s="106" t="s">
        <v>106</v>
      </c>
      <c r="D753" s="110" t="s">
        <v>106</v>
      </c>
      <c r="E753" s="111">
        <v>3.03</v>
      </c>
    </row>
    <row r="754" spans="1:5" ht="15" x14ac:dyDescent="0.3">
      <c r="A754" s="627"/>
      <c r="B754" s="107" t="s">
        <v>858</v>
      </c>
      <c r="C754" s="106" t="s">
        <v>106</v>
      </c>
      <c r="D754" s="108" t="s">
        <v>106</v>
      </c>
      <c r="E754" s="109">
        <v>3.13</v>
      </c>
    </row>
    <row r="755" spans="1:5" ht="15" x14ac:dyDescent="0.3">
      <c r="A755" s="627"/>
      <c r="B755" s="107" t="s">
        <v>859</v>
      </c>
      <c r="C755" s="106" t="s">
        <v>106</v>
      </c>
      <c r="D755" s="110" t="s">
        <v>106</v>
      </c>
      <c r="E755" s="111">
        <v>3.12</v>
      </c>
    </row>
    <row r="756" spans="1:5" ht="15" x14ac:dyDescent="0.3">
      <c r="A756" s="627"/>
      <c r="B756" s="107" t="s">
        <v>860</v>
      </c>
      <c r="C756" s="106" t="s">
        <v>106</v>
      </c>
      <c r="D756" s="108" t="s">
        <v>106</v>
      </c>
      <c r="E756" s="109">
        <v>3.12</v>
      </c>
    </row>
    <row r="757" spans="1:5" ht="15" x14ac:dyDescent="0.3">
      <c r="A757" s="627"/>
      <c r="B757" s="107" t="s">
        <v>861</v>
      </c>
      <c r="C757" s="106" t="s">
        <v>106</v>
      </c>
      <c r="D757" s="110" t="s">
        <v>106</v>
      </c>
      <c r="E757" s="111">
        <v>3.15</v>
      </c>
    </row>
    <row r="758" spans="1:5" ht="15" x14ac:dyDescent="0.3">
      <c r="A758" s="627"/>
      <c r="B758" s="107" t="s">
        <v>862</v>
      </c>
      <c r="C758" s="106" t="s">
        <v>106</v>
      </c>
      <c r="D758" s="108" t="s">
        <v>106</v>
      </c>
      <c r="E758" s="109">
        <v>3.12</v>
      </c>
    </row>
    <row r="759" spans="1:5" ht="15" x14ac:dyDescent="0.3">
      <c r="A759" s="627"/>
      <c r="B759" s="107" t="s">
        <v>863</v>
      </c>
      <c r="C759" s="106" t="s">
        <v>106</v>
      </c>
      <c r="D759" s="110" t="s">
        <v>106</v>
      </c>
      <c r="E759" s="111">
        <v>2.97</v>
      </c>
    </row>
    <row r="760" spans="1:5" ht="15" x14ac:dyDescent="0.3">
      <c r="A760" s="627"/>
      <c r="B760" s="107" t="s">
        <v>864</v>
      </c>
      <c r="C760" s="106" t="s">
        <v>106</v>
      </c>
      <c r="D760" s="108" t="s">
        <v>106</v>
      </c>
      <c r="E760" s="109">
        <v>2.93</v>
      </c>
    </row>
    <row r="761" spans="1:5" ht="15" x14ac:dyDescent="0.3">
      <c r="A761" s="627"/>
      <c r="B761" s="107" t="s">
        <v>865</v>
      </c>
      <c r="C761" s="106" t="s">
        <v>106</v>
      </c>
      <c r="D761" s="110" t="s">
        <v>106</v>
      </c>
      <c r="E761" s="111">
        <v>2.91</v>
      </c>
    </row>
    <row r="762" spans="1:5" ht="15" x14ac:dyDescent="0.3">
      <c r="A762" s="627"/>
      <c r="B762" s="107" t="s">
        <v>866</v>
      </c>
      <c r="C762" s="106" t="s">
        <v>106</v>
      </c>
      <c r="D762" s="108" t="s">
        <v>106</v>
      </c>
      <c r="E762" s="109">
        <v>2.94</v>
      </c>
    </row>
    <row r="763" spans="1:5" ht="15" x14ac:dyDescent="0.3">
      <c r="A763" s="627"/>
      <c r="B763" s="107" t="s">
        <v>867</v>
      </c>
      <c r="C763" s="106" t="s">
        <v>106</v>
      </c>
      <c r="D763" s="110" t="s">
        <v>106</v>
      </c>
      <c r="E763" s="111">
        <v>2.89</v>
      </c>
    </row>
    <row r="764" spans="1:5" ht="15" x14ac:dyDescent="0.3">
      <c r="A764" s="627"/>
      <c r="B764" s="107" t="s">
        <v>868</v>
      </c>
      <c r="C764" s="106" t="s">
        <v>106</v>
      </c>
      <c r="D764" s="108" t="s">
        <v>106</v>
      </c>
      <c r="E764" s="109">
        <v>2.88</v>
      </c>
    </row>
    <row r="765" spans="1:5" ht="15" x14ac:dyDescent="0.3">
      <c r="A765" s="627"/>
      <c r="B765" s="107" t="s">
        <v>869</v>
      </c>
      <c r="C765" s="106" t="s">
        <v>106</v>
      </c>
      <c r="D765" s="110" t="s">
        <v>106</v>
      </c>
      <c r="E765" s="111">
        <v>2.79</v>
      </c>
    </row>
    <row r="766" spans="1:5" ht="15" x14ac:dyDescent="0.3">
      <c r="A766" s="627"/>
      <c r="B766" s="107" t="s">
        <v>870</v>
      </c>
      <c r="C766" s="106" t="s">
        <v>106</v>
      </c>
      <c r="D766" s="108" t="s">
        <v>106</v>
      </c>
      <c r="E766" s="109">
        <v>2.73</v>
      </c>
    </row>
    <row r="767" spans="1:5" ht="15" x14ac:dyDescent="0.3">
      <c r="A767" s="627"/>
      <c r="B767" s="107" t="s">
        <v>871</v>
      </c>
      <c r="C767" s="106" t="s">
        <v>106</v>
      </c>
      <c r="D767" s="110" t="s">
        <v>106</v>
      </c>
      <c r="E767" s="111">
        <v>2.63</v>
      </c>
    </row>
    <row r="768" spans="1:5" ht="15" x14ac:dyDescent="0.3">
      <c r="A768" s="627"/>
      <c r="B768" s="107" t="s">
        <v>872</v>
      </c>
      <c r="C768" s="106" t="s">
        <v>106</v>
      </c>
      <c r="D768" s="108" t="s">
        <v>106</v>
      </c>
      <c r="E768" s="109">
        <v>2.75</v>
      </c>
    </row>
    <row r="769" spans="1:5" ht="15" x14ac:dyDescent="0.3">
      <c r="A769" s="627"/>
      <c r="B769" s="107" t="s">
        <v>873</v>
      </c>
      <c r="C769" s="106" t="s">
        <v>106</v>
      </c>
      <c r="D769" s="110" t="s">
        <v>106</v>
      </c>
      <c r="E769" s="111">
        <v>2.74</v>
      </c>
    </row>
    <row r="770" spans="1:5" ht="15" x14ac:dyDescent="0.3">
      <c r="A770" s="627"/>
      <c r="B770" s="107" t="s">
        <v>874</v>
      </c>
      <c r="C770" s="106" t="s">
        <v>106</v>
      </c>
      <c r="D770" s="108" t="s">
        <v>106</v>
      </c>
      <c r="E770" s="109">
        <v>2.62</v>
      </c>
    </row>
    <row r="771" spans="1:5" ht="15" x14ac:dyDescent="0.3">
      <c r="A771" s="627"/>
      <c r="B771" s="107" t="s">
        <v>875</v>
      </c>
      <c r="C771" s="106" t="s">
        <v>106</v>
      </c>
      <c r="D771" s="110" t="s">
        <v>106</v>
      </c>
      <c r="E771" s="111">
        <v>2.5299999999999998</v>
      </c>
    </row>
    <row r="772" spans="1:5" ht="15" x14ac:dyDescent="0.3">
      <c r="A772" s="627"/>
      <c r="B772" s="107" t="s">
        <v>876</v>
      </c>
      <c r="C772" s="106" t="s">
        <v>106</v>
      </c>
      <c r="D772" s="108" t="s">
        <v>106</v>
      </c>
      <c r="E772" s="109">
        <v>2.64</v>
      </c>
    </row>
    <row r="773" spans="1:5" ht="15" x14ac:dyDescent="0.3">
      <c r="A773" s="627"/>
      <c r="B773" s="107" t="s">
        <v>877</v>
      </c>
      <c r="C773" s="106" t="s">
        <v>106</v>
      </c>
      <c r="D773" s="110" t="s">
        <v>106</v>
      </c>
      <c r="E773" s="111">
        <v>2.71</v>
      </c>
    </row>
    <row r="774" spans="1:5" ht="15" x14ac:dyDescent="0.3">
      <c r="A774" s="627"/>
      <c r="B774" s="107" t="s">
        <v>878</v>
      </c>
      <c r="C774" s="106" t="s">
        <v>106</v>
      </c>
      <c r="D774" s="108" t="s">
        <v>106</v>
      </c>
      <c r="E774" s="109">
        <v>2.73</v>
      </c>
    </row>
    <row r="775" spans="1:5" ht="15" x14ac:dyDescent="0.3">
      <c r="A775" s="627"/>
      <c r="B775" s="107" t="s">
        <v>879</v>
      </c>
      <c r="C775" s="106" t="s">
        <v>106</v>
      </c>
      <c r="D775" s="110" t="s">
        <v>106</v>
      </c>
      <c r="E775" s="111">
        <v>2.65</v>
      </c>
    </row>
    <row r="776" spans="1:5" ht="15" x14ac:dyDescent="0.3">
      <c r="A776" s="627"/>
      <c r="B776" s="107" t="s">
        <v>880</v>
      </c>
      <c r="C776" s="106" t="s">
        <v>106</v>
      </c>
      <c r="D776" s="108" t="s">
        <v>106</v>
      </c>
      <c r="E776" s="109">
        <v>2.73</v>
      </c>
    </row>
    <row r="777" spans="1:5" ht="15" x14ac:dyDescent="0.3">
      <c r="A777" s="627"/>
      <c r="B777" s="107" t="s">
        <v>881</v>
      </c>
      <c r="C777" s="106" t="s">
        <v>106</v>
      </c>
      <c r="D777" s="110" t="s">
        <v>106</v>
      </c>
      <c r="E777" s="111">
        <v>2.83</v>
      </c>
    </row>
    <row r="778" spans="1:5" ht="15" x14ac:dyDescent="0.3">
      <c r="A778" s="627"/>
      <c r="B778" s="107" t="s">
        <v>882</v>
      </c>
      <c r="C778" s="106" t="s">
        <v>106</v>
      </c>
      <c r="D778" s="108" t="s">
        <v>106</v>
      </c>
      <c r="E778" s="109">
        <v>2.86</v>
      </c>
    </row>
    <row r="779" spans="1:5" ht="15" x14ac:dyDescent="0.3">
      <c r="A779" s="627"/>
      <c r="B779" s="107" t="s">
        <v>883</v>
      </c>
      <c r="C779" s="106" t="s">
        <v>106</v>
      </c>
      <c r="D779" s="110" t="s">
        <v>106</v>
      </c>
      <c r="E779" s="111">
        <v>2.87</v>
      </c>
    </row>
    <row r="780" spans="1:5" ht="15" x14ac:dyDescent="0.3">
      <c r="A780" s="627"/>
      <c r="B780" s="107" t="s">
        <v>884</v>
      </c>
      <c r="C780" s="106" t="s">
        <v>106</v>
      </c>
      <c r="D780" s="108" t="s">
        <v>106</v>
      </c>
      <c r="E780" s="109">
        <v>2.82</v>
      </c>
    </row>
    <row r="781" spans="1:5" ht="15" x14ac:dyDescent="0.3">
      <c r="A781" s="627"/>
      <c r="B781" s="107" t="s">
        <v>885</v>
      </c>
      <c r="C781" s="106" t="s">
        <v>106</v>
      </c>
      <c r="D781" s="110" t="s">
        <v>106</v>
      </c>
      <c r="E781" s="111">
        <v>2.81</v>
      </c>
    </row>
    <row r="782" spans="1:5" ht="15" x14ac:dyDescent="0.3">
      <c r="A782" s="627"/>
      <c r="B782" s="107" t="s">
        <v>886</v>
      </c>
      <c r="C782" s="106" t="s">
        <v>106</v>
      </c>
      <c r="D782" s="108" t="s">
        <v>106</v>
      </c>
      <c r="E782" s="109">
        <v>2.68</v>
      </c>
    </row>
    <row r="783" spans="1:5" ht="15" x14ac:dyDescent="0.3">
      <c r="A783" s="627"/>
      <c r="B783" s="107" t="s">
        <v>887</v>
      </c>
      <c r="C783" s="106" t="s">
        <v>106</v>
      </c>
      <c r="D783" s="110" t="s">
        <v>106</v>
      </c>
      <c r="E783" s="111">
        <v>2.82</v>
      </c>
    </row>
    <row r="784" spans="1:5" ht="15" x14ac:dyDescent="0.3">
      <c r="A784" s="627"/>
      <c r="B784" s="107" t="s">
        <v>888</v>
      </c>
      <c r="C784" s="106" t="s">
        <v>106</v>
      </c>
      <c r="D784" s="108" t="s">
        <v>106</v>
      </c>
      <c r="E784" s="109">
        <v>2.84</v>
      </c>
    </row>
    <row r="785" spans="1:5" ht="15" x14ac:dyDescent="0.3">
      <c r="A785" s="627"/>
      <c r="B785" s="107" t="s">
        <v>889</v>
      </c>
      <c r="C785" s="106" t="s">
        <v>106</v>
      </c>
      <c r="D785" s="110" t="s">
        <v>106</v>
      </c>
      <c r="E785" s="111">
        <v>2.91</v>
      </c>
    </row>
    <row r="786" spans="1:5" ht="15" x14ac:dyDescent="0.3">
      <c r="A786" s="627"/>
      <c r="B786" s="107" t="s">
        <v>890</v>
      </c>
      <c r="C786" s="106" t="s">
        <v>106</v>
      </c>
      <c r="D786" s="108" t="s">
        <v>106</v>
      </c>
      <c r="E786" s="109">
        <v>2.84</v>
      </c>
    </row>
    <row r="787" spans="1:5" ht="15" x14ac:dyDescent="0.3">
      <c r="A787" s="627"/>
      <c r="B787" s="107" t="s">
        <v>891</v>
      </c>
      <c r="C787" s="106" t="s">
        <v>106</v>
      </c>
      <c r="D787" s="110" t="s">
        <v>106</v>
      </c>
      <c r="E787" s="111">
        <v>2.9</v>
      </c>
    </row>
    <row r="788" spans="1:5" ht="15" x14ac:dyDescent="0.3">
      <c r="A788" s="627"/>
      <c r="B788" s="107" t="s">
        <v>892</v>
      </c>
      <c r="C788" s="106" t="s">
        <v>106</v>
      </c>
      <c r="D788" s="108" t="s">
        <v>106</v>
      </c>
      <c r="E788" s="109">
        <v>2.9</v>
      </c>
    </row>
    <row r="789" spans="1:5" ht="15" x14ac:dyDescent="0.3">
      <c r="A789" s="627"/>
      <c r="B789" s="107" t="s">
        <v>893</v>
      </c>
      <c r="C789" s="106" t="s">
        <v>106</v>
      </c>
      <c r="D789" s="110" t="s">
        <v>106</v>
      </c>
      <c r="E789" s="111">
        <v>2.9</v>
      </c>
    </row>
    <row r="790" spans="1:5" ht="15" x14ac:dyDescent="0.3">
      <c r="A790" s="627"/>
      <c r="B790" s="107" t="s">
        <v>894</v>
      </c>
      <c r="C790" s="106" t="s">
        <v>106</v>
      </c>
      <c r="D790" s="108" t="s">
        <v>106</v>
      </c>
      <c r="E790" s="109">
        <v>2.96</v>
      </c>
    </row>
    <row r="791" spans="1:5" ht="15" x14ac:dyDescent="0.3">
      <c r="A791" s="627"/>
      <c r="B791" s="107" t="s">
        <v>895</v>
      </c>
      <c r="C791" s="106" t="s">
        <v>106</v>
      </c>
      <c r="D791" s="110" t="s">
        <v>106</v>
      </c>
      <c r="E791" s="111">
        <v>3.02</v>
      </c>
    </row>
    <row r="792" spans="1:5" ht="15" x14ac:dyDescent="0.3">
      <c r="A792" s="627"/>
      <c r="B792" s="107" t="s">
        <v>896</v>
      </c>
      <c r="C792" s="106" t="s">
        <v>106</v>
      </c>
      <c r="D792" s="108" t="s">
        <v>106</v>
      </c>
      <c r="E792" s="109">
        <v>3.1</v>
      </c>
    </row>
    <row r="793" spans="1:5" ht="15" x14ac:dyDescent="0.3">
      <c r="A793" s="627"/>
      <c r="B793" s="107" t="s">
        <v>897</v>
      </c>
      <c r="C793" s="106" t="s">
        <v>106</v>
      </c>
      <c r="D793" s="110" t="s">
        <v>106</v>
      </c>
      <c r="E793" s="111">
        <v>3.01</v>
      </c>
    </row>
    <row r="794" spans="1:5" ht="15" x14ac:dyDescent="0.3">
      <c r="A794" s="627"/>
      <c r="B794" s="107" t="s">
        <v>898</v>
      </c>
      <c r="C794" s="106" t="s">
        <v>106</v>
      </c>
      <c r="D794" s="108" t="s">
        <v>106</v>
      </c>
      <c r="E794" s="109">
        <v>3.06</v>
      </c>
    </row>
    <row r="795" spans="1:5" ht="15" x14ac:dyDescent="0.3">
      <c r="A795" s="627"/>
      <c r="B795" s="107" t="s">
        <v>899</v>
      </c>
      <c r="C795" s="106" t="s">
        <v>106</v>
      </c>
      <c r="D795" s="110" t="s">
        <v>106</v>
      </c>
      <c r="E795" s="111">
        <v>3.14</v>
      </c>
    </row>
    <row r="796" spans="1:5" ht="15" x14ac:dyDescent="0.3">
      <c r="A796" s="627"/>
      <c r="B796" s="107" t="s">
        <v>900</v>
      </c>
      <c r="C796" s="106" t="s">
        <v>106</v>
      </c>
      <c r="D796" s="108" t="s">
        <v>106</v>
      </c>
      <c r="E796" s="109">
        <v>3.12</v>
      </c>
    </row>
    <row r="797" spans="1:5" ht="15" x14ac:dyDescent="0.3">
      <c r="A797" s="627"/>
      <c r="B797" s="107" t="s">
        <v>901</v>
      </c>
      <c r="C797" s="106" t="s">
        <v>106</v>
      </c>
      <c r="D797" s="110" t="s">
        <v>106</v>
      </c>
      <c r="E797" s="111">
        <v>3.05</v>
      </c>
    </row>
    <row r="798" spans="1:5" ht="15" x14ac:dyDescent="0.3">
      <c r="A798" s="627"/>
      <c r="B798" s="107" t="s">
        <v>902</v>
      </c>
      <c r="C798" s="106" t="s">
        <v>106</v>
      </c>
      <c r="D798" s="108" t="s">
        <v>106</v>
      </c>
      <c r="E798" s="109">
        <v>3.16</v>
      </c>
    </row>
    <row r="799" spans="1:5" ht="15" x14ac:dyDescent="0.3">
      <c r="A799" s="627"/>
      <c r="B799" s="107" t="s">
        <v>903</v>
      </c>
      <c r="C799" s="106" t="s">
        <v>106</v>
      </c>
      <c r="D799" s="110" t="s">
        <v>106</v>
      </c>
      <c r="E799" s="111">
        <v>3.24</v>
      </c>
    </row>
    <row r="800" spans="1:5" ht="15" x14ac:dyDescent="0.3">
      <c r="A800" s="627"/>
      <c r="B800" s="107" t="s">
        <v>904</v>
      </c>
      <c r="C800" s="106" t="s">
        <v>106</v>
      </c>
      <c r="D800" s="108" t="s">
        <v>106</v>
      </c>
      <c r="E800" s="109">
        <v>3.29</v>
      </c>
    </row>
    <row r="801" spans="1:5" ht="15" x14ac:dyDescent="0.3">
      <c r="A801" s="627"/>
      <c r="B801" s="107" t="s">
        <v>905</v>
      </c>
      <c r="C801" s="106" t="s">
        <v>106</v>
      </c>
      <c r="D801" s="110" t="s">
        <v>106</v>
      </c>
      <c r="E801" s="111">
        <v>3.33</v>
      </c>
    </row>
    <row r="802" spans="1:5" ht="15" x14ac:dyDescent="0.3">
      <c r="A802" s="627"/>
      <c r="B802" s="107" t="s">
        <v>906</v>
      </c>
      <c r="C802" s="106" t="s">
        <v>106</v>
      </c>
      <c r="D802" s="108" t="s">
        <v>106</v>
      </c>
      <c r="E802" s="109">
        <v>3.28</v>
      </c>
    </row>
    <row r="803" spans="1:5" ht="15" x14ac:dyDescent="0.3">
      <c r="A803" s="627"/>
      <c r="B803" s="107" t="s">
        <v>907</v>
      </c>
      <c r="C803" s="106" t="s">
        <v>106</v>
      </c>
      <c r="D803" s="110" t="s">
        <v>106</v>
      </c>
      <c r="E803" s="111">
        <v>3.24</v>
      </c>
    </row>
    <row r="804" spans="1:5" ht="15" x14ac:dyDescent="0.3">
      <c r="A804" s="627"/>
      <c r="B804" s="107" t="s">
        <v>908</v>
      </c>
      <c r="C804" s="106" t="s">
        <v>106</v>
      </c>
      <c r="D804" s="108" t="s">
        <v>106</v>
      </c>
      <c r="E804" s="109">
        <v>3.26</v>
      </c>
    </row>
    <row r="805" spans="1:5" ht="15" x14ac:dyDescent="0.3">
      <c r="A805" s="627"/>
      <c r="B805" s="107" t="s">
        <v>909</v>
      </c>
      <c r="C805" s="106" t="s">
        <v>106</v>
      </c>
      <c r="D805" s="110" t="s">
        <v>106</v>
      </c>
      <c r="E805" s="111">
        <v>3.29</v>
      </c>
    </row>
    <row r="806" spans="1:5" ht="15" x14ac:dyDescent="0.3">
      <c r="A806" s="627"/>
      <c r="B806" s="107" t="s">
        <v>910</v>
      </c>
      <c r="C806" s="106" t="s">
        <v>106</v>
      </c>
      <c r="D806" s="108" t="s">
        <v>106</v>
      </c>
      <c r="E806" s="109">
        <v>3.29</v>
      </c>
    </row>
    <row r="807" spans="1:5" ht="15" x14ac:dyDescent="0.3">
      <c r="A807" s="627"/>
      <c r="B807" s="107" t="s">
        <v>911</v>
      </c>
      <c r="C807" s="106" t="s">
        <v>106</v>
      </c>
      <c r="D807" s="110" t="s">
        <v>106</v>
      </c>
      <c r="E807" s="111">
        <v>3.15</v>
      </c>
    </row>
    <row r="808" spans="1:5" ht="15" x14ac:dyDescent="0.3">
      <c r="A808" s="627"/>
      <c r="B808" s="107" t="s">
        <v>912</v>
      </c>
      <c r="C808" s="106" t="s">
        <v>106</v>
      </c>
      <c r="D808" s="108" t="s">
        <v>106</v>
      </c>
      <c r="E808" s="109">
        <v>2.89</v>
      </c>
    </row>
    <row r="809" spans="1:5" ht="15" x14ac:dyDescent="0.3">
      <c r="A809" s="627"/>
      <c r="B809" s="107" t="s">
        <v>913</v>
      </c>
      <c r="C809" s="106" t="s">
        <v>106</v>
      </c>
      <c r="D809" s="110" t="s">
        <v>106</v>
      </c>
      <c r="E809" s="111">
        <v>3.01</v>
      </c>
    </row>
    <row r="810" spans="1:5" ht="15" x14ac:dyDescent="0.3">
      <c r="A810" s="627"/>
      <c r="B810" s="107" t="s">
        <v>914</v>
      </c>
      <c r="C810" s="106" t="s">
        <v>106</v>
      </c>
      <c r="D810" s="108" t="s">
        <v>106</v>
      </c>
      <c r="E810" s="109">
        <v>3</v>
      </c>
    </row>
    <row r="811" spans="1:5" ht="15" x14ac:dyDescent="0.3">
      <c r="A811" s="627"/>
      <c r="B811" s="107" t="s">
        <v>915</v>
      </c>
      <c r="C811" s="106" t="s">
        <v>106</v>
      </c>
      <c r="D811" s="110" t="s">
        <v>106</v>
      </c>
      <c r="E811" s="111">
        <v>2.93</v>
      </c>
    </row>
    <row r="812" spans="1:5" ht="15" x14ac:dyDescent="0.3">
      <c r="A812" s="627"/>
      <c r="B812" s="107" t="s">
        <v>916</v>
      </c>
      <c r="C812" s="106" t="s">
        <v>106</v>
      </c>
      <c r="D812" s="108" t="s">
        <v>106</v>
      </c>
      <c r="E812" s="109">
        <v>2.91</v>
      </c>
    </row>
    <row r="813" spans="1:5" ht="15" x14ac:dyDescent="0.3">
      <c r="A813" s="627"/>
      <c r="B813" s="107" t="s">
        <v>917</v>
      </c>
      <c r="C813" s="106" t="s">
        <v>106</v>
      </c>
      <c r="D813" s="110" t="s">
        <v>106</v>
      </c>
      <c r="E813" s="111">
        <v>2.7</v>
      </c>
    </row>
    <row r="814" spans="1:5" ht="15" x14ac:dyDescent="0.3">
      <c r="A814" s="627"/>
      <c r="B814" s="107" t="s">
        <v>918</v>
      </c>
      <c r="C814" s="106" t="s">
        <v>106</v>
      </c>
      <c r="D814" s="108" t="s">
        <v>106</v>
      </c>
      <c r="E814" s="109">
        <v>2.83</v>
      </c>
    </row>
    <row r="815" spans="1:5" ht="15" x14ac:dyDescent="0.3">
      <c r="A815" s="627"/>
      <c r="B815" s="107" t="s">
        <v>919</v>
      </c>
      <c r="C815" s="106" t="s">
        <v>106</v>
      </c>
      <c r="D815" s="110" t="s">
        <v>106</v>
      </c>
      <c r="E815" s="111">
        <v>3.02</v>
      </c>
    </row>
    <row r="816" spans="1:5" ht="15" x14ac:dyDescent="0.3">
      <c r="A816" s="627"/>
      <c r="B816" s="107" t="s">
        <v>920</v>
      </c>
      <c r="C816" s="106" t="s">
        <v>106</v>
      </c>
      <c r="D816" s="108" t="s">
        <v>106</v>
      </c>
      <c r="E816" s="109">
        <v>2.93</v>
      </c>
    </row>
    <row r="817" spans="1:5" ht="15" x14ac:dyDescent="0.3">
      <c r="A817" s="627"/>
      <c r="B817" s="107" t="s">
        <v>921</v>
      </c>
      <c r="C817" s="106" t="s">
        <v>106</v>
      </c>
      <c r="D817" s="110" t="s">
        <v>106</v>
      </c>
      <c r="E817" s="111">
        <v>2.75</v>
      </c>
    </row>
    <row r="818" spans="1:5" ht="15" x14ac:dyDescent="0.3">
      <c r="A818" s="627"/>
      <c r="B818" s="107" t="s">
        <v>922</v>
      </c>
      <c r="C818" s="106" t="s">
        <v>106</v>
      </c>
      <c r="D818" s="108" t="s">
        <v>106</v>
      </c>
      <c r="E818" s="109">
        <v>2.86</v>
      </c>
    </row>
    <row r="819" spans="1:5" ht="15" x14ac:dyDescent="0.3">
      <c r="A819" s="627"/>
      <c r="B819" s="107" t="s">
        <v>923</v>
      </c>
      <c r="C819" s="106" t="s">
        <v>106</v>
      </c>
      <c r="D819" s="110" t="s">
        <v>106</v>
      </c>
      <c r="E819" s="111">
        <v>3</v>
      </c>
    </row>
    <row r="820" spans="1:5" ht="15" x14ac:dyDescent="0.3">
      <c r="A820" s="627"/>
      <c r="B820" s="107" t="s">
        <v>924</v>
      </c>
      <c r="C820" s="106" t="s">
        <v>106</v>
      </c>
      <c r="D820" s="108" t="s">
        <v>106</v>
      </c>
      <c r="E820" s="109">
        <v>2.98</v>
      </c>
    </row>
    <row r="821" spans="1:5" ht="15" x14ac:dyDescent="0.3">
      <c r="A821" s="627"/>
      <c r="B821" s="107" t="s">
        <v>925</v>
      </c>
      <c r="C821" s="106" t="s">
        <v>106</v>
      </c>
      <c r="D821" s="110" t="s">
        <v>106</v>
      </c>
      <c r="E821" s="111">
        <v>2.97</v>
      </c>
    </row>
    <row r="822" spans="1:5" ht="15" x14ac:dyDescent="0.3">
      <c r="A822" s="627"/>
      <c r="B822" s="107" t="s">
        <v>926</v>
      </c>
      <c r="C822" s="106" t="s">
        <v>106</v>
      </c>
      <c r="D822" s="108" t="s">
        <v>106</v>
      </c>
      <c r="E822" s="109">
        <v>3.07</v>
      </c>
    </row>
    <row r="823" spans="1:5" ht="15" x14ac:dyDescent="0.3">
      <c r="A823" s="627"/>
      <c r="B823" s="107" t="s">
        <v>927</v>
      </c>
      <c r="C823" s="106" t="s">
        <v>106</v>
      </c>
      <c r="D823" s="110" t="s">
        <v>106</v>
      </c>
      <c r="E823" s="111">
        <v>3.01</v>
      </c>
    </row>
    <row r="824" spans="1:5" ht="15" x14ac:dyDescent="0.3">
      <c r="A824" s="627"/>
      <c r="B824" s="107" t="s">
        <v>928</v>
      </c>
      <c r="C824" s="106" t="s">
        <v>106</v>
      </c>
      <c r="D824" s="108" t="s">
        <v>106</v>
      </c>
      <c r="E824" s="109">
        <v>2.96</v>
      </c>
    </row>
    <row r="825" spans="1:5" ht="15" x14ac:dyDescent="0.3">
      <c r="A825" s="627"/>
      <c r="B825" s="107" t="s">
        <v>929</v>
      </c>
      <c r="C825" s="106" t="s">
        <v>106</v>
      </c>
      <c r="D825" s="110" t="s">
        <v>106</v>
      </c>
      <c r="E825" s="111">
        <v>2.97</v>
      </c>
    </row>
    <row r="826" spans="1:5" ht="15" x14ac:dyDescent="0.3">
      <c r="A826" s="627"/>
      <c r="B826" s="107" t="s">
        <v>930</v>
      </c>
      <c r="C826" s="106" t="s">
        <v>106</v>
      </c>
      <c r="D826" s="108" t="s">
        <v>106</v>
      </c>
      <c r="E826" s="109">
        <v>2.82</v>
      </c>
    </row>
    <row r="827" spans="1:5" ht="15" x14ac:dyDescent="0.3">
      <c r="A827" s="627"/>
      <c r="B827" s="107" t="s">
        <v>931</v>
      </c>
      <c r="C827" s="106" t="s">
        <v>106</v>
      </c>
      <c r="D827" s="110" t="s">
        <v>106</v>
      </c>
      <c r="E827" s="111">
        <v>2.87</v>
      </c>
    </row>
    <row r="828" spans="1:5" ht="15" x14ac:dyDescent="0.3">
      <c r="A828" s="627"/>
      <c r="B828" s="107" t="s">
        <v>932</v>
      </c>
      <c r="C828" s="106" t="s">
        <v>106</v>
      </c>
      <c r="D828" s="108" t="s">
        <v>106</v>
      </c>
      <c r="E828" s="109">
        <v>2.92</v>
      </c>
    </row>
    <row r="829" spans="1:5" ht="15" x14ac:dyDescent="0.3">
      <c r="A829" s="627"/>
      <c r="B829" s="107" t="s">
        <v>933</v>
      </c>
      <c r="C829" s="106" t="s">
        <v>106</v>
      </c>
      <c r="D829" s="110" t="s">
        <v>106</v>
      </c>
      <c r="E829" s="111">
        <v>3</v>
      </c>
    </row>
    <row r="830" spans="1:5" ht="15" x14ac:dyDescent="0.3">
      <c r="A830" s="627"/>
      <c r="B830" s="107" t="s">
        <v>934</v>
      </c>
      <c r="C830" s="106" t="s">
        <v>106</v>
      </c>
      <c r="D830" s="108" t="s">
        <v>106</v>
      </c>
      <c r="E830" s="109">
        <v>3.07</v>
      </c>
    </row>
    <row r="831" spans="1:5" ht="15" x14ac:dyDescent="0.3">
      <c r="A831" s="627"/>
      <c r="B831" s="107" t="s">
        <v>935</v>
      </c>
      <c r="C831" s="106" t="s">
        <v>106</v>
      </c>
      <c r="D831" s="110" t="s">
        <v>106</v>
      </c>
      <c r="E831" s="111">
        <v>3.06</v>
      </c>
    </row>
    <row r="832" spans="1:5" ht="15" x14ac:dyDescent="0.3">
      <c r="A832" s="627"/>
      <c r="B832" s="107" t="s">
        <v>936</v>
      </c>
      <c r="C832" s="106" t="s">
        <v>106</v>
      </c>
      <c r="D832" s="108" t="s">
        <v>106</v>
      </c>
      <c r="E832" s="109">
        <v>3.11</v>
      </c>
    </row>
    <row r="833" spans="1:5" ht="15" x14ac:dyDescent="0.3">
      <c r="A833" s="627"/>
      <c r="B833" s="107" t="s">
        <v>937</v>
      </c>
      <c r="C833" s="106" t="s">
        <v>106</v>
      </c>
      <c r="D833" s="110" t="s">
        <v>106</v>
      </c>
      <c r="E833" s="111">
        <v>3.16</v>
      </c>
    </row>
    <row r="834" spans="1:5" ht="15" x14ac:dyDescent="0.3">
      <c r="A834" s="627"/>
      <c r="B834" s="107" t="s">
        <v>938</v>
      </c>
      <c r="C834" s="106" t="s">
        <v>106</v>
      </c>
      <c r="D834" s="108" t="s">
        <v>106</v>
      </c>
      <c r="E834" s="109">
        <v>3.19</v>
      </c>
    </row>
    <row r="835" spans="1:5" ht="15" x14ac:dyDescent="0.3">
      <c r="A835" s="627"/>
      <c r="B835" s="107" t="s">
        <v>939</v>
      </c>
      <c r="C835" s="106" t="s">
        <v>106</v>
      </c>
      <c r="D835" s="110" t="s">
        <v>106</v>
      </c>
      <c r="E835" s="111">
        <v>3.16</v>
      </c>
    </row>
    <row r="836" spans="1:5" ht="15" x14ac:dyDescent="0.3">
      <c r="A836" s="627"/>
      <c r="B836" s="107" t="s">
        <v>940</v>
      </c>
      <c r="C836" s="106" t="s">
        <v>106</v>
      </c>
      <c r="D836" s="108" t="s">
        <v>106</v>
      </c>
      <c r="E836" s="109">
        <v>3.12</v>
      </c>
    </row>
    <row r="837" spans="1:5" ht="15" x14ac:dyDescent="0.3">
      <c r="A837" s="627"/>
      <c r="B837" s="107" t="s">
        <v>941</v>
      </c>
      <c r="C837" s="106" t="s">
        <v>106</v>
      </c>
      <c r="D837" s="110" t="s">
        <v>106</v>
      </c>
      <c r="E837" s="111">
        <v>3.15</v>
      </c>
    </row>
    <row r="838" spans="1:5" ht="15" x14ac:dyDescent="0.3">
      <c r="A838" s="627"/>
      <c r="B838" s="107" t="s">
        <v>942</v>
      </c>
      <c r="C838" s="106" t="s">
        <v>106</v>
      </c>
      <c r="D838" s="108" t="s">
        <v>106</v>
      </c>
      <c r="E838" s="109">
        <v>3.12</v>
      </c>
    </row>
    <row r="839" spans="1:5" ht="15" x14ac:dyDescent="0.3">
      <c r="A839" s="627"/>
      <c r="B839" s="107" t="s">
        <v>943</v>
      </c>
      <c r="C839" s="106" t="s">
        <v>106</v>
      </c>
      <c r="D839" s="110" t="s">
        <v>106</v>
      </c>
      <c r="E839" s="111">
        <v>3.03</v>
      </c>
    </row>
    <row r="840" spans="1:5" ht="15" x14ac:dyDescent="0.3">
      <c r="A840" s="627"/>
      <c r="B840" s="107" t="s">
        <v>944</v>
      </c>
      <c r="C840" s="106" t="s">
        <v>106</v>
      </c>
      <c r="D840" s="108" t="s">
        <v>106</v>
      </c>
      <c r="E840" s="109">
        <v>3.12</v>
      </c>
    </row>
    <row r="841" spans="1:5" ht="15" x14ac:dyDescent="0.3">
      <c r="A841" s="627"/>
      <c r="B841" s="107" t="s">
        <v>945</v>
      </c>
      <c r="C841" s="106" t="s">
        <v>106</v>
      </c>
      <c r="D841" s="110" t="s">
        <v>106</v>
      </c>
      <c r="E841" s="111">
        <v>3.04</v>
      </c>
    </row>
    <row r="842" spans="1:5" ht="15" x14ac:dyDescent="0.3">
      <c r="A842" s="627"/>
      <c r="B842" s="107" t="s">
        <v>946</v>
      </c>
      <c r="C842" s="106" t="s">
        <v>106</v>
      </c>
      <c r="D842" s="108" t="s">
        <v>106</v>
      </c>
      <c r="E842" s="109">
        <v>3.06</v>
      </c>
    </row>
    <row r="843" spans="1:5" ht="15" x14ac:dyDescent="0.3">
      <c r="A843" s="627"/>
      <c r="B843" s="107" t="s">
        <v>947</v>
      </c>
      <c r="C843" s="106" t="s">
        <v>106</v>
      </c>
      <c r="D843" s="110" t="s">
        <v>106</v>
      </c>
      <c r="E843" s="111">
        <v>2.94</v>
      </c>
    </row>
    <row r="844" spans="1:5" ht="15" x14ac:dyDescent="0.3">
      <c r="A844" s="627"/>
      <c r="B844" s="107" t="s">
        <v>948</v>
      </c>
      <c r="C844" s="106" t="s">
        <v>106</v>
      </c>
      <c r="D844" s="108" t="s">
        <v>106</v>
      </c>
      <c r="E844" s="109">
        <v>2.94</v>
      </c>
    </row>
    <row r="845" spans="1:5" ht="15" x14ac:dyDescent="0.3">
      <c r="A845" s="627"/>
      <c r="B845" s="107" t="s">
        <v>949</v>
      </c>
      <c r="C845" s="106" t="s">
        <v>106</v>
      </c>
      <c r="D845" s="110" t="s">
        <v>106</v>
      </c>
      <c r="E845" s="111">
        <v>2.97</v>
      </c>
    </row>
    <row r="846" spans="1:5" ht="15" x14ac:dyDescent="0.3">
      <c r="A846" s="627"/>
      <c r="B846" s="107" t="s">
        <v>950</v>
      </c>
      <c r="C846" s="106" t="s">
        <v>106</v>
      </c>
      <c r="D846" s="108" t="s">
        <v>106</v>
      </c>
      <c r="E846" s="109">
        <v>3.02</v>
      </c>
    </row>
    <row r="847" spans="1:5" ht="15" x14ac:dyDescent="0.3">
      <c r="A847" s="627"/>
      <c r="B847" s="107" t="s">
        <v>951</v>
      </c>
      <c r="C847" s="106" t="s">
        <v>106</v>
      </c>
      <c r="D847" s="110" t="s">
        <v>106</v>
      </c>
      <c r="E847" s="111">
        <v>3.03</v>
      </c>
    </row>
    <row r="848" spans="1:5" ht="15" x14ac:dyDescent="0.3">
      <c r="A848" s="627"/>
      <c r="B848" s="107" t="s">
        <v>952</v>
      </c>
      <c r="C848" s="106" t="s">
        <v>106</v>
      </c>
      <c r="D848" s="108" t="s">
        <v>106</v>
      </c>
      <c r="E848" s="109">
        <v>3.06</v>
      </c>
    </row>
    <row r="849" spans="1:5" ht="15" x14ac:dyDescent="0.3">
      <c r="A849" s="627"/>
      <c r="B849" s="107" t="s">
        <v>953</v>
      </c>
      <c r="C849" s="106" t="s">
        <v>106</v>
      </c>
      <c r="D849" s="110" t="s">
        <v>106</v>
      </c>
      <c r="E849" s="111">
        <v>3</v>
      </c>
    </row>
    <row r="850" spans="1:5" ht="15" x14ac:dyDescent="0.3">
      <c r="A850" s="627"/>
      <c r="B850" s="107" t="s">
        <v>954</v>
      </c>
      <c r="C850" s="106" t="s">
        <v>106</v>
      </c>
      <c r="D850" s="108" t="s">
        <v>106</v>
      </c>
      <c r="E850" s="109">
        <v>2.94</v>
      </c>
    </row>
    <row r="851" spans="1:5" ht="15" x14ac:dyDescent="0.3">
      <c r="A851" s="627"/>
      <c r="B851" s="107" t="s">
        <v>955</v>
      </c>
      <c r="C851" s="106" t="s">
        <v>106</v>
      </c>
      <c r="D851" s="110" t="s">
        <v>106</v>
      </c>
      <c r="E851" s="111">
        <v>2.99</v>
      </c>
    </row>
    <row r="852" spans="1:5" ht="15" x14ac:dyDescent="0.3">
      <c r="A852" s="627"/>
      <c r="B852" s="107" t="s">
        <v>956</v>
      </c>
      <c r="C852" s="106" t="s">
        <v>106</v>
      </c>
      <c r="D852" s="108" t="s">
        <v>106</v>
      </c>
      <c r="E852" s="109">
        <v>2.98</v>
      </c>
    </row>
    <row r="853" spans="1:5" ht="15" x14ac:dyDescent="0.3">
      <c r="A853" s="627"/>
      <c r="B853" s="107" t="s">
        <v>957</v>
      </c>
      <c r="C853" s="106" t="s">
        <v>106</v>
      </c>
      <c r="D853" s="110" t="s">
        <v>106</v>
      </c>
      <c r="E853" s="111">
        <v>3.03</v>
      </c>
    </row>
    <row r="854" spans="1:5" ht="15" x14ac:dyDescent="0.3">
      <c r="A854" s="627"/>
      <c r="B854" s="107" t="s">
        <v>958</v>
      </c>
      <c r="C854" s="106" t="s">
        <v>106</v>
      </c>
      <c r="D854" s="108" t="s">
        <v>106</v>
      </c>
      <c r="E854" s="109">
        <v>3.1</v>
      </c>
    </row>
    <row r="855" spans="1:5" ht="15" x14ac:dyDescent="0.3">
      <c r="A855" s="627"/>
      <c r="B855" s="107" t="s">
        <v>959</v>
      </c>
      <c r="C855" s="106" t="s">
        <v>106</v>
      </c>
      <c r="D855" s="110" t="s">
        <v>106</v>
      </c>
      <c r="E855" s="111">
        <v>3.17</v>
      </c>
    </row>
    <row r="856" spans="1:5" ht="15" x14ac:dyDescent="0.3">
      <c r="A856" s="627"/>
      <c r="B856" s="107" t="s">
        <v>960</v>
      </c>
      <c r="C856" s="106" t="s">
        <v>106</v>
      </c>
      <c r="D856" s="108" t="s">
        <v>106</v>
      </c>
      <c r="E856" s="109">
        <v>3.16</v>
      </c>
    </row>
    <row r="857" spans="1:5" ht="15" x14ac:dyDescent="0.3">
      <c r="A857" s="627"/>
      <c r="B857" s="107" t="s">
        <v>961</v>
      </c>
      <c r="C857" s="106" t="s">
        <v>106</v>
      </c>
      <c r="D857" s="110" t="s">
        <v>106</v>
      </c>
      <c r="E857" s="111">
        <v>3.17</v>
      </c>
    </row>
    <row r="858" spans="1:5" ht="15" x14ac:dyDescent="0.3">
      <c r="A858" s="627"/>
      <c r="B858" s="107" t="s">
        <v>962</v>
      </c>
      <c r="C858" s="106" t="s">
        <v>106</v>
      </c>
      <c r="D858" s="108" t="s">
        <v>106</v>
      </c>
      <c r="E858" s="109">
        <v>3.23</v>
      </c>
    </row>
    <row r="859" spans="1:5" ht="15" x14ac:dyDescent="0.3">
      <c r="A859" s="627"/>
      <c r="B859" s="107" t="s">
        <v>963</v>
      </c>
      <c r="C859" s="106" t="s">
        <v>106</v>
      </c>
      <c r="D859" s="110" t="s">
        <v>106</v>
      </c>
      <c r="E859" s="111">
        <v>3.1</v>
      </c>
    </row>
    <row r="860" spans="1:5" ht="15" x14ac:dyDescent="0.3">
      <c r="A860" s="627"/>
      <c r="B860" s="107" t="s">
        <v>964</v>
      </c>
      <c r="C860" s="106" t="s">
        <v>106</v>
      </c>
      <c r="D860" s="108" t="s">
        <v>106</v>
      </c>
      <c r="E860" s="109">
        <v>2.95</v>
      </c>
    </row>
    <row r="861" spans="1:5" ht="15" x14ac:dyDescent="0.3">
      <c r="A861" s="627"/>
      <c r="B861" s="107" t="s">
        <v>965</v>
      </c>
      <c r="C861" s="106" t="s">
        <v>106</v>
      </c>
      <c r="D861" s="110" t="s">
        <v>106</v>
      </c>
      <c r="E861" s="111">
        <v>2.98</v>
      </c>
    </row>
    <row r="862" spans="1:5" ht="15" x14ac:dyDescent="0.3">
      <c r="A862" s="627"/>
      <c r="B862" s="107" t="s">
        <v>966</v>
      </c>
      <c r="C862" s="106" t="s">
        <v>106</v>
      </c>
      <c r="D862" s="108" t="s">
        <v>106</v>
      </c>
      <c r="E862" s="109">
        <v>2.97</v>
      </c>
    </row>
    <row r="863" spans="1:5" ht="15" x14ac:dyDescent="0.3">
      <c r="A863" s="627"/>
      <c r="B863" s="107" t="s">
        <v>967</v>
      </c>
      <c r="C863" s="106" t="s">
        <v>106</v>
      </c>
      <c r="D863" s="110" t="s">
        <v>106</v>
      </c>
      <c r="E863" s="111">
        <v>3.04</v>
      </c>
    </row>
    <row r="864" spans="1:5" ht="15" x14ac:dyDescent="0.3">
      <c r="A864" s="627"/>
      <c r="B864" s="107" t="s">
        <v>968</v>
      </c>
      <c r="C864" s="106" t="s">
        <v>106</v>
      </c>
      <c r="D864" s="108" t="s">
        <v>106</v>
      </c>
      <c r="E864" s="109">
        <v>3</v>
      </c>
    </row>
    <row r="865" spans="1:5" ht="15" x14ac:dyDescent="0.3">
      <c r="A865" s="627"/>
      <c r="B865" s="107" t="s">
        <v>969</v>
      </c>
      <c r="C865" s="106" t="s">
        <v>106</v>
      </c>
      <c r="D865" s="110" t="s">
        <v>106</v>
      </c>
      <c r="E865" s="111">
        <v>3.04</v>
      </c>
    </row>
    <row r="866" spans="1:5" ht="15" x14ac:dyDescent="0.3">
      <c r="A866" s="627"/>
      <c r="B866" s="107" t="s">
        <v>970</v>
      </c>
      <c r="C866" s="106" t="s">
        <v>106</v>
      </c>
      <c r="D866" s="108" t="s">
        <v>106</v>
      </c>
      <c r="E866" s="109">
        <v>3.13</v>
      </c>
    </row>
    <row r="867" spans="1:5" ht="15" x14ac:dyDescent="0.3">
      <c r="A867" s="627"/>
      <c r="B867" s="107" t="s">
        <v>971</v>
      </c>
      <c r="C867" s="106" t="s">
        <v>106</v>
      </c>
      <c r="D867" s="110" t="s">
        <v>106</v>
      </c>
      <c r="E867" s="111">
        <v>3.09</v>
      </c>
    </row>
    <row r="868" spans="1:5" ht="15" x14ac:dyDescent="0.3">
      <c r="A868" s="627"/>
      <c r="B868" s="107" t="s">
        <v>972</v>
      </c>
      <c r="C868" s="106" t="s">
        <v>106</v>
      </c>
      <c r="D868" s="108" t="s">
        <v>106</v>
      </c>
      <c r="E868" s="109">
        <v>3.05</v>
      </c>
    </row>
    <row r="869" spans="1:5" ht="15" x14ac:dyDescent="0.3">
      <c r="A869" s="627"/>
      <c r="B869" s="107" t="s">
        <v>973</v>
      </c>
      <c r="C869" s="106" t="s">
        <v>106</v>
      </c>
      <c r="D869" s="110" t="s">
        <v>106</v>
      </c>
      <c r="E869" s="111">
        <v>3.03</v>
      </c>
    </row>
    <row r="870" spans="1:5" ht="15" x14ac:dyDescent="0.3">
      <c r="A870" s="627"/>
      <c r="B870" s="107" t="s">
        <v>974</v>
      </c>
      <c r="C870" s="106" t="s">
        <v>106</v>
      </c>
      <c r="D870" s="108" t="s">
        <v>106</v>
      </c>
      <c r="E870" s="109">
        <v>3.1</v>
      </c>
    </row>
    <row r="871" spans="1:5" ht="15" x14ac:dyDescent="0.3">
      <c r="A871" s="627"/>
      <c r="B871" s="107" t="s">
        <v>975</v>
      </c>
      <c r="C871" s="106" t="s">
        <v>106</v>
      </c>
      <c r="D871" s="110" t="s">
        <v>106</v>
      </c>
      <c r="E871" s="111">
        <v>3.14</v>
      </c>
    </row>
    <row r="872" spans="1:5" ht="15" x14ac:dyDescent="0.3">
      <c r="A872" s="627"/>
      <c r="B872" s="107" t="s">
        <v>976</v>
      </c>
      <c r="C872" s="106" t="s">
        <v>106</v>
      </c>
      <c r="D872" s="108" t="s">
        <v>106</v>
      </c>
      <c r="E872" s="109">
        <v>3.14</v>
      </c>
    </row>
    <row r="873" spans="1:5" ht="15" x14ac:dyDescent="0.3">
      <c r="A873" s="627"/>
      <c r="B873" s="107" t="s">
        <v>977</v>
      </c>
      <c r="C873" s="106" t="s">
        <v>106</v>
      </c>
      <c r="D873" s="110" t="s">
        <v>106</v>
      </c>
      <c r="E873" s="111">
        <v>3.12</v>
      </c>
    </row>
    <row r="874" spans="1:5" ht="15" x14ac:dyDescent="0.3">
      <c r="A874" s="627"/>
      <c r="B874" s="107" t="s">
        <v>978</v>
      </c>
      <c r="C874" s="106" t="s">
        <v>106</v>
      </c>
      <c r="D874" s="108" t="s">
        <v>106</v>
      </c>
      <c r="E874" s="109">
        <v>3.12</v>
      </c>
    </row>
    <row r="875" spans="1:5" ht="15" x14ac:dyDescent="0.3">
      <c r="A875" s="627"/>
      <c r="B875" s="107" t="s">
        <v>979</v>
      </c>
      <c r="C875" s="106" t="s">
        <v>106</v>
      </c>
      <c r="D875" s="110" t="s">
        <v>106</v>
      </c>
      <c r="E875" s="111">
        <v>3.06</v>
      </c>
    </row>
    <row r="876" spans="1:5" ht="15" x14ac:dyDescent="0.3">
      <c r="A876" s="627"/>
      <c r="B876" s="107" t="s">
        <v>980</v>
      </c>
      <c r="C876" s="106" t="s">
        <v>106</v>
      </c>
      <c r="D876" s="108" t="s">
        <v>106</v>
      </c>
      <c r="E876" s="109">
        <v>3.11</v>
      </c>
    </row>
    <row r="877" spans="1:5" ht="15" x14ac:dyDescent="0.3">
      <c r="A877" s="627"/>
      <c r="B877" s="107" t="s">
        <v>981</v>
      </c>
      <c r="C877" s="106" t="s">
        <v>106</v>
      </c>
      <c r="D877" s="110" t="s">
        <v>106</v>
      </c>
      <c r="E877" s="111">
        <v>3.02</v>
      </c>
    </row>
    <row r="878" spans="1:5" ht="15" x14ac:dyDescent="0.3">
      <c r="A878" s="627"/>
      <c r="B878" s="107" t="s">
        <v>982</v>
      </c>
      <c r="C878" s="106" t="s">
        <v>106</v>
      </c>
      <c r="D878" s="108" t="s">
        <v>106</v>
      </c>
      <c r="E878" s="109">
        <v>2.95</v>
      </c>
    </row>
    <row r="879" spans="1:5" ht="15" x14ac:dyDescent="0.3">
      <c r="A879" s="627"/>
      <c r="B879" s="107" t="s">
        <v>983</v>
      </c>
      <c r="C879" s="106" t="s">
        <v>106</v>
      </c>
      <c r="D879" s="110" t="s">
        <v>106</v>
      </c>
      <c r="E879" s="111">
        <v>2.97</v>
      </c>
    </row>
    <row r="880" spans="1:5" ht="15" x14ac:dyDescent="0.3">
      <c r="A880" s="627"/>
      <c r="B880" s="107" t="s">
        <v>984</v>
      </c>
      <c r="C880" s="106" t="s">
        <v>106</v>
      </c>
      <c r="D880" s="108" t="s">
        <v>106</v>
      </c>
      <c r="E880" s="109">
        <v>3</v>
      </c>
    </row>
    <row r="881" spans="1:5" ht="15" x14ac:dyDescent="0.3">
      <c r="A881" s="627"/>
      <c r="B881" s="107" t="s">
        <v>985</v>
      </c>
      <c r="C881" s="106" t="s">
        <v>106</v>
      </c>
      <c r="D881" s="110" t="s">
        <v>106</v>
      </c>
      <c r="E881" s="111">
        <v>3.01</v>
      </c>
    </row>
    <row r="882" spans="1:5" ht="15" x14ac:dyDescent="0.3">
      <c r="A882" s="627"/>
      <c r="B882" s="107" t="s">
        <v>986</v>
      </c>
      <c r="C882" s="106" t="s">
        <v>106</v>
      </c>
      <c r="D882" s="108" t="s">
        <v>106</v>
      </c>
      <c r="E882" s="109">
        <v>3.11</v>
      </c>
    </row>
    <row r="883" spans="1:5" ht="15" x14ac:dyDescent="0.3">
      <c r="A883" s="627"/>
      <c r="B883" s="107" t="s">
        <v>987</v>
      </c>
      <c r="C883" s="106" t="s">
        <v>106</v>
      </c>
      <c r="D883" s="110" t="s">
        <v>106</v>
      </c>
      <c r="E883" s="111">
        <v>3.04</v>
      </c>
    </row>
    <row r="884" spans="1:5" ht="15" x14ac:dyDescent="0.3">
      <c r="A884" s="627"/>
      <c r="B884" s="107" t="s">
        <v>988</v>
      </c>
      <c r="C884" s="106" t="s">
        <v>106</v>
      </c>
      <c r="D884" s="108" t="s">
        <v>106</v>
      </c>
      <c r="E884" s="109">
        <v>3.12</v>
      </c>
    </row>
    <row r="885" spans="1:5" ht="15" x14ac:dyDescent="0.3">
      <c r="A885" s="627"/>
      <c r="B885" s="107" t="s">
        <v>989</v>
      </c>
      <c r="C885" s="106" t="s">
        <v>106</v>
      </c>
      <c r="D885" s="110" t="s">
        <v>106</v>
      </c>
      <c r="E885" s="111">
        <v>3.1</v>
      </c>
    </row>
    <row r="886" spans="1:5" ht="15" x14ac:dyDescent="0.3">
      <c r="A886" s="627"/>
      <c r="B886" s="107" t="s">
        <v>990</v>
      </c>
      <c r="C886" s="106" t="s">
        <v>106</v>
      </c>
      <c r="D886" s="108" t="s">
        <v>106</v>
      </c>
      <c r="E886" s="109">
        <v>3.19</v>
      </c>
    </row>
    <row r="887" spans="1:5" ht="15" x14ac:dyDescent="0.3">
      <c r="A887" s="627"/>
      <c r="B887" s="107" t="s">
        <v>991</v>
      </c>
      <c r="C887" s="106" t="s">
        <v>106</v>
      </c>
      <c r="D887" s="110" t="s">
        <v>106</v>
      </c>
      <c r="E887" s="111">
        <v>3.29</v>
      </c>
    </row>
    <row r="888" spans="1:5" ht="15" x14ac:dyDescent="0.3">
      <c r="A888" s="627"/>
      <c r="B888" s="107" t="s">
        <v>992</v>
      </c>
      <c r="C888" s="106" t="s">
        <v>106</v>
      </c>
      <c r="D888" s="108" t="s">
        <v>106</v>
      </c>
      <c r="E888" s="109">
        <v>3.32</v>
      </c>
    </row>
    <row r="889" spans="1:5" ht="15" x14ac:dyDescent="0.3">
      <c r="A889" s="627"/>
      <c r="B889" s="107" t="s">
        <v>993</v>
      </c>
      <c r="C889" s="106" t="s">
        <v>106</v>
      </c>
      <c r="D889" s="110" t="s">
        <v>106</v>
      </c>
      <c r="E889" s="111">
        <v>3.28</v>
      </c>
    </row>
    <row r="890" spans="1:5" ht="15" x14ac:dyDescent="0.3">
      <c r="A890" s="627"/>
      <c r="B890" s="107" t="s">
        <v>994</v>
      </c>
      <c r="C890" s="106" t="s">
        <v>106</v>
      </c>
      <c r="D890" s="108" t="s">
        <v>106</v>
      </c>
      <c r="E890" s="109">
        <v>3.28</v>
      </c>
    </row>
    <row r="891" spans="1:5" ht="15" x14ac:dyDescent="0.3">
      <c r="A891" s="627"/>
      <c r="B891" s="107" t="s">
        <v>995</v>
      </c>
      <c r="C891" s="106" t="s">
        <v>106</v>
      </c>
      <c r="D891" s="110" t="s">
        <v>106</v>
      </c>
      <c r="E891" s="111">
        <v>3.13</v>
      </c>
    </row>
    <row r="892" spans="1:5" ht="15" x14ac:dyDescent="0.3">
      <c r="A892" s="627"/>
      <c r="B892" s="107" t="s">
        <v>996</v>
      </c>
      <c r="C892" s="106" t="s">
        <v>106</v>
      </c>
      <c r="D892" s="108" t="s">
        <v>106</v>
      </c>
      <c r="E892" s="109">
        <v>3.13</v>
      </c>
    </row>
    <row r="893" spans="1:5" ht="15" x14ac:dyDescent="0.3">
      <c r="A893" s="627"/>
      <c r="B893" s="107" t="s">
        <v>997</v>
      </c>
      <c r="C893" s="106" t="s">
        <v>106</v>
      </c>
      <c r="D893" s="110" t="s">
        <v>106</v>
      </c>
      <c r="E893" s="111">
        <v>3.13</v>
      </c>
    </row>
    <row r="894" spans="1:5" ht="15" x14ac:dyDescent="0.3">
      <c r="A894" s="627"/>
      <c r="B894" s="107" t="s">
        <v>998</v>
      </c>
      <c r="C894" s="106" t="s">
        <v>106</v>
      </c>
      <c r="D894" s="108" t="s">
        <v>106</v>
      </c>
      <c r="E894" s="109">
        <v>3.06</v>
      </c>
    </row>
    <row r="895" spans="1:5" ht="15" x14ac:dyDescent="0.3">
      <c r="A895" s="627"/>
      <c r="B895" s="107" t="s">
        <v>999</v>
      </c>
      <c r="C895" s="106" t="s">
        <v>106</v>
      </c>
      <c r="D895" s="110" t="s">
        <v>106</v>
      </c>
      <c r="E895" s="111">
        <v>2.98</v>
      </c>
    </row>
    <row r="896" spans="1:5" ht="15" x14ac:dyDescent="0.3">
      <c r="A896" s="627"/>
      <c r="B896" s="107" t="s">
        <v>1000</v>
      </c>
      <c r="C896" s="106" t="s">
        <v>106</v>
      </c>
      <c r="D896" s="108" t="s">
        <v>106</v>
      </c>
      <c r="E896" s="109">
        <v>3.08</v>
      </c>
    </row>
    <row r="897" spans="1:5" ht="15" x14ac:dyDescent="0.3">
      <c r="A897" s="627"/>
      <c r="B897" s="107" t="s">
        <v>1001</v>
      </c>
      <c r="C897" s="106" t="s">
        <v>106</v>
      </c>
      <c r="D897" s="110" t="s">
        <v>106</v>
      </c>
      <c r="E897" s="111">
        <v>3.05</v>
      </c>
    </row>
    <row r="898" spans="1:5" ht="15" x14ac:dyDescent="0.3">
      <c r="A898" s="627"/>
      <c r="B898" s="107" t="s">
        <v>1002</v>
      </c>
      <c r="C898" s="106" t="s">
        <v>106</v>
      </c>
      <c r="D898" s="108" t="s">
        <v>106</v>
      </c>
      <c r="E898" s="109">
        <v>3.09</v>
      </c>
    </row>
    <row r="899" spans="1:5" ht="15" x14ac:dyDescent="0.3">
      <c r="A899" s="627"/>
      <c r="B899" s="107" t="s">
        <v>1003</v>
      </c>
      <c r="C899" s="106" t="s">
        <v>106</v>
      </c>
      <c r="D899" s="110" t="s">
        <v>106</v>
      </c>
      <c r="E899" s="111">
        <v>3.09</v>
      </c>
    </row>
    <row r="900" spans="1:5" ht="15" x14ac:dyDescent="0.3">
      <c r="A900" s="627"/>
      <c r="B900" s="107" t="s">
        <v>1004</v>
      </c>
      <c r="C900" s="106" t="s">
        <v>106</v>
      </c>
      <c r="D900" s="108" t="s">
        <v>106</v>
      </c>
      <c r="E900" s="109">
        <v>3.14</v>
      </c>
    </row>
    <row r="901" spans="1:5" ht="15" x14ac:dyDescent="0.3">
      <c r="A901" s="627"/>
      <c r="B901" s="107" t="s">
        <v>1005</v>
      </c>
      <c r="C901" s="106" t="s">
        <v>106</v>
      </c>
      <c r="D901" s="110" t="s">
        <v>106</v>
      </c>
      <c r="E901" s="111">
        <v>3.16</v>
      </c>
    </row>
    <row r="902" spans="1:5" ht="15" x14ac:dyDescent="0.3">
      <c r="A902" s="627"/>
      <c r="B902" s="107" t="s">
        <v>1006</v>
      </c>
      <c r="C902" s="106" t="s">
        <v>106</v>
      </c>
      <c r="D902" s="108" t="s">
        <v>106</v>
      </c>
      <c r="E902" s="109">
        <v>3.16</v>
      </c>
    </row>
    <row r="903" spans="1:5" ht="15" x14ac:dyDescent="0.3">
      <c r="A903" s="627"/>
      <c r="B903" s="107" t="s">
        <v>1007</v>
      </c>
      <c r="C903" s="106" t="s">
        <v>106</v>
      </c>
      <c r="D903" s="110" t="s">
        <v>106</v>
      </c>
      <c r="E903" s="111">
        <v>3.15</v>
      </c>
    </row>
    <row r="904" spans="1:5" ht="15" x14ac:dyDescent="0.3">
      <c r="A904" s="627"/>
      <c r="B904" s="107" t="s">
        <v>1008</v>
      </c>
      <c r="C904" s="106" t="s">
        <v>106</v>
      </c>
      <c r="D904" s="108" t="s">
        <v>106</v>
      </c>
      <c r="E904" s="109">
        <v>3.17</v>
      </c>
    </row>
    <row r="905" spans="1:5" ht="15" x14ac:dyDescent="0.3">
      <c r="A905" s="627"/>
      <c r="B905" s="107" t="s">
        <v>1009</v>
      </c>
      <c r="C905" s="106" t="s">
        <v>106</v>
      </c>
      <c r="D905" s="110" t="s">
        <v>106</v>
      </c>
      <c r="E905" s="111">
        <v>3.22</v>
      </c>
    </row>
    <row r="906" spans="1:5" ht="15" x14ac:dyDescent="0.3">
      <c r="A906" s="627"/>
      <c r="B906" s="107" t="s">
        <v>1010</v>
      </c>
      <c r="C906" s="106" t="s">
        <v>106</v>
      </c>
      <c r="D906" s="108" t="s">
        <v>106</v>
      </c>
      <c r="E906" s="109">
        <v>3.26</v>
      </c>
    </row>
    <row r="907" spans="1:5" ht="15" x14ac:dyDescent="0.3">
      <c r="A907" s="627"/>
      <c r="B907" s="107" t="s">
        <v>1011</v>
      </c>
      <c r="C907" s="106" t="s">
        <v>106</v>
      </c>
      <c r="D907" s="110" t="s">
        <v>106</v>
      </c>
      <c r="E907" s="111">
        <v>3.23</v>
      </c>
    </row>
    <row r="908" spans="1:5" ht="15" x14ac:dyDescent="0.3">
      <c r="A908" s="627"/>
      <c r="B908" s="107" t="s">
        <v>1012</v>
      </c>
      <c r="C908" s="106" t="s">
        <v>106</v>
      </c>
      <c r="D908" s="108" t="s">
        <v>106</v>
      </c>
      <c r="E908" s="109">
        <v>3.15</v>
      </c>
    </row>
    <row r="909" spans="1:5" ht="15" x14ac:dyDescent="0.3">
      <c r="A909" s="627"/>
      <c r="B909" s="107" t="s">
        <v>1013</v>
      </c>
      <c r="C909" s="106" t="s">
        <v>106</v>
      </c>
      <c r="D909" s="110" t="s">
        <v>106</v>
      </c>
      <c r="E909" s="111">
        <v>3.11</v>
      </c>
    </row>
    <row r="910" spans="1:5" ht="15" x14ac:dyDescent="0.3">
      <c r="A910" s="627"/>
      <c r="B910" s="107" t="s">
        <v>1014</v>
      </c>
      <c r="C910" s="106" t="s">
        <v>106</v>
      </c>
      <c r="D910" s="108" t="s">
        <v>106</v>
      </c>
      <c r="E910" s="109">
        <v>3.19</v>
      </c>
    </row>
    <row r="911" spans="1:5" ht="15" x14ac:dyDescent="0.3">
      <c r="A911" s="627"/>
      <c r="B911" s="107" t="s">
        <v>1015</v>
      </c>
      <c r="C911" s="106" t="s">
        <v>106</v>
      </c>
      <c r="D911" s="110" t="s">
        <v>106</v>
      </c>
      <c r="E911" s="111">
        <v>3.21</v>
      </c>
    </row>
    <row r="912" spans="1:5" ht="15" x14ac:dyDescent="0.3">
      <c r="A912" s="627"/>
      <c r="B912" s="107" t="s">
        <v>1016</v>
      </c>
      <c r="C912" s="106" t="s">
        <v>106</v>
      </c>
      <c r="D912" s="108" t="s">
        <v>106</v>
      </c>
      <c r="E912" s="109">
        <v>3.26</v>
      </c>
    </row>
    <row r="913" spans="1:5" ht="15" x14ac:dyDescent="0.3">
      <c r="A913" s="627"/>
      <c r="B913" s="107" t="s">
        <v>1017</v>
      </c>
      <c r="C913" s="106" t="s">
        <v>106</v>
      </c>
      <c r="D913" s="110" t="s">
        <v>106</v>
      </c>
      <c r="E913" s="111">
        <v>3.32</v>
      </c>
    </row>
    <row r="914" spans="1:5" ht="15" x14ac:dyDescent="0.3">
      <c r="A914" s="627"/>
      <c r="B914" s="107" t="s">
        <v>1018</v>
      </c>
      <c r="C914" s="106" t="s">
        <v>106</v>
      </c>
      <c r="D914" s="108" t="s">
        <v>106</v>
      </c>
      <c r="E914" s="109">
        <v>3.35</v>
      </c>
    </row>
    <row r="915" spans="1:5" ht="15" x14ac:dyDescent="0.3">
      <c r="A915" s="627"/>
      <c r="B915" s="107" t="s">
        <v>1019</v>
      </c>
      <c r="C915" s="106" t="s">
        <v>106</v>
      </c>
      <c r="D915" s="110" t="s">
        <v>106</v>
      </c>
      <c r="E915" s="111">
        <v>3.29</v>
      </c>
    </row>
    <row r="916" spans="1:5" ht="15" x14ac:dyDescent="0.3">
      <c r="A916" s="627"/>
      <c r="B916" s="107" t="s">
        <v>1020</v>
      </c>
      <c r="C916" s="106" t="s">
        <v>106</v>
      </c>
      <c r="D916" s="108" t="s">
        <v>106</v>
      </c>
      <c r="E916" s="109">
        <v>3.3</v>
      </c>
    </row>
    <row r="917" spans="1:5" ht="15" x14ac:dyDescent="0.3">
      <c r="A917" s="627"/>
      <c r="B917" s="107" t="s">
        <v>1021</v>
      </c>
      <c r="C917" s="106" t="s">
        <v>106</v>
      </c>
      <c r="D917" s="110" t="s">
        <v>106</v>
      </c>
      <c r="E917" s="111">
        <v>3.32</v>
      </c>
    </row>
    <row r="918" spans="1:5" ht="15" x14ac:dyDescent="0.3">
      <c r="A918" s="627"/>
      <c r="B918" s="107" t="s">
        <v>1022</v>
      </c>
      <c r="C918" s="106" t="s">
        <v>106</v>
      </c>
      <c r="D918" s="108" t="s">
        <v>106</v>
      </c>
      <c r="E918" s="109">
        <v>3.18</v>
      </c>
    </row>
    <row r="919" spans="1:5" ht="15" x14ac:dyDescent="0.3">
      <c r="A919" s="627"/>
      <c r="B919" s="107" t="s">
        <v>1023</v>
      </c>
      <c r="C919" s="106" t="s">
        <v>106</v>
      </c>
      <c r="D919" s="110" t="s">
        <v>106</v>
      </c>
      <c r="E919" s="111">
        <v>3.12</v>
      </c>
    </row>
    <row r="920" spans="1:5" ht="15" x14ac:dyDescent="0.3">
      <c r="A920" s="627"/>
      <c r="B920" s="107" t="s">
        <v>1024</v>
      </c>
      <c r="C920" s="106" t="s">
        <v>106</v>
      </c>
      <c r="D920" s="108" t="s">
        <v>106</v>
      </c>
      <c r="E920" s="109">
        <v>3.18</v>
      </c>
    </row>
    <row r="921" spans="1:5" ht="15" x14ac:dyDescent="0.3">
      <c r="A921" s="627"/>
      <c r="B921" s="107" t="s">
        <v>1025</v>
      </c>
      <c r="C921" s="106" t="s">
        <v>106</v>
      </c>
      <c r="D921" s="110" t="s">
        <v>106</v>
      </c>
      <c r="E921" s="111">
        <v>3.21</v>
      </c>
    </row>
    <row r="922" spans="1:5" ht="15" x14ac:dyDescent="0.3">
      <c r="A922" s="627"/>
      <c r="B922" s="107" t="s">
        <v>1026</v>
      </c>
      <c r="C922" s="106" t="s">
        <v>106</v>
      </c>
      <c r="D922" s="108" t="s">
        <v>106</v>
      </c>
      <c r="E922" s="109">
        <v>3.19</v>
      </c>
    </row>
    <row r="923" spans="1:5" ht="15" x14ac:dyDescent="0.3">
      <c r="A923" s="627"/>
      <c r="B923" s="107" t="s">
        <v>1027</v>
      </c>
      <c r="C923" s="106" t="s">
        <v>106</v>
      </c>
      <c r="D923" s="110" t="s">
        <v>106</v>
      </c>
      <c r="E923" s="111">
        <v>3.18</v>
      </c>
    </row>
    <row r="924" spans="1:5" ht="15" x14ac:dyDescent="0.3">
      <c r="A924" s="627"/>
      <c r="B924" s="107" t="s">
        <v>1028</v>
      </c>
      <c r="C924" s="106" t="s">
        <v>106</v>
      </c>
      <c r="D924" s="108" t="s">
        <v>106</v>
      </c>
      <c r="E924" s="109">
        <v>3.15</v>
      </c>
    </row>
    <row r="925" spans="1:5" ht="15" x14ac:dyDescent="0.3">
      <c r="A925" s="627"/>
      <c r="B925" s="107" t="s">
        <v>1029</v>
      </c>
      <c r="C925" s="106" t="s">
        <v>106</v>
      </c>
      <c r="D925" s="110" t="s">
        <v>106</v>
      </c>
      <c r="E925" s="111">
        <v>3.1</v>
      </c>
    </row>
    <row r="926" spans="1:5" ht="15" x14ac:dyDescent="0.3">
      <c r="A926" s="627"/>
      <c r="B926" s="107" t="s">
        <v>1030</v>
      </c>
      <c r="C926" s="106" t="s">
        <v>106</v>
      </c>
      <c r="D926" s="108" t="s">
        <v>106</v>
      </c>
      <c r="E926" s="109">
        <v>3.18</v>
      </c>
    </row>
    <row r="927" spans="1:5" ht="15" x14ac:dyDescent="0.3">
      <c r="A927" s="627"/>
      <c r="B927" s="107" t="s">
        <v>1031</v>
      </c>
      <c r="C927" s="106" t="s">
        <v>106</v>
      </c>
      <c r="D927" s="110" t="s">
        <v>106</v>
      </c>
      <c r="E927" s="111">
        <v>3.2</v>
      </c>
    </row>
    <row r="928" spans="1:5" ht="15" x14ac:dyDescent="0.3">
      <c r="A928" s="627"/>
      <c r="B928" s="107" t="s">
        <v>1032</v>
      </c>
      <c r="C928" s="106" t="s">
        <v>106</v>
      </c>
      <c r="D928" s="108" t="s">
        <v>106</v>
      </c>
      <c r="E928" s="109">
        <v>3.24</v>
      </c>
    </row>
    <row r="929" spans="1:5" ht="15" x14ac:dyDescent="0.3">
      <c r="A929" s="627"/>
      <c r="B929" s="107" t="s">
        <v>1033</v>
      </c>
      <c r="C929" s="106" t="s">
        <v>106</v>
      </c>
      <c r="D929" s="110" t="s">
        <v>106</v>
      </c>
      <c r="E929" s="111">
        <v>3.27</v>
      </c>
    </row>
    <row r="930" spans="1:5" ht="15" x14ac:dyDescent="0.3">
      <c r="A930" s="627"/>
      <c r="B930" s="107" t="s">
        <v>1034</v>
      </c>
      <c r="C930" s="106" t="s">
        <v>106</v>
      </c>
      <c r="D930" s="108" t="s">
        <v>106</v>
      </c>
      <c r="E930" s="109">
        <v>3.24</v>
      </c>
    </row>
    <row r="931" spans="1:5" ht="15" x14ac:dyDescent="0.3">
      <c r="A931" s="627"/>
      <c r="B931" s="107" t="s">
        <v>1035</v>
      </c>
      <c r="C931" s="106" t="s">
        <v>106</v>
      </c>
      <c r="D931" s="110" t="s">
        <v>106</v>
      </c>
      <c r="E931" s="111">
        <v>3.26</v>
      </c>
    </row>
    <row r="932" spans="1:5" ht="15" x14ac:dyDescent="0.3">
      <c r="A932" s="627"/>
      <c r="B932" s="107" t="s">
        <v>1036</v>
      </c>
      <c r="C932" s="106" t="s">
        <v>106</v>
      </c>
      <c r="D932" s="108" t="s">
        <v>106</v>
      </c>
      <c r="E932" s="109">
        <v>3.26</v>
      </c>
    </row>
    <row r="933" spans="1:5" ht="15" x14ac:dyDescent="0.3">
      <c r="A933" s="627"/>
      <c r="B933" s="107" t="s">
        <v>1037</v>
      </c>
      <c r="C933" s="106" t="s">
        <v>106</v>
      </c>
      <c r="D933" s="110" t="s">
        <v>106</v>
      </c>
      <c r="E933" s="111">
        <v>3.32</v>
      </c>
    </row>
    <row r="934" spans="1:5" ht="15" x14ac:dyDescent="0.3">
      <c r="A934" s="627"/>
      <c r="B934" s="107" t="s">
        <v>1038</v>
      </c>
      <c r="C934" s="106" t="s">
        <v>106</v>
      </c>
      <c r="D934" s="108" t="s">
        <v>106</v>
      </c>
      <c r="E934" s="109">
        <v>3.28</v>
      </c>
    </row>
    <row r="935" spans="1:5" ht="15" x14ac:dyDescent="0.3">
      <c r="A935" s="627"/>
      <c r="B935" s="107" t="s">
        <v>1039</v>
      </c>
      <c r="C935" s="106" t="s">
        <v>106</v>
      </c>
      <c r="D935" s="110" t="s">
        <v>106</v>
      </c>
      <c r="E935" s="111">
        <v>3.28</v>
      </c>
    </row>
    <row r="936" spans="1:5" ht="15" x14ac:dyDescent="0.3">
      <c r="A936" s="627"/>
      <c r="B936" s="107" t="s">
        <v>1040</v>
      </c>
      <c r="C936" s="106" t="s">
        <v>106</v>
      </c>
      <c r="D936" s="108" t="s">
        <v>106</v>
      </c>
      <c r="E936" s="109">
        <v>3.31</v>
      </c>
    </row>
    <row r="937" spans="1:5" ht="15" x14ac:dyDescent="0.3">
      <c r="A937" s="627"/>
      <c r="B937" s="107" t="s">
        <v>1041</v>
      </c>
      <c r="C937" s="106" t="s">
        <v>106</v>
      </c>
      <c r="D937" s="110" t="s">
        <v>106</v>
      </c>
      <c r="E937" s="111">
        <v>3.33</v>
      </c>
    </row>
    <row r="938" spans="1:5" ht="15" x14ac:dyDescent="0.3">
      <c r="A938" s="627"/>
      <c r="B938" s="107" t="s">
        <v>1042</v>
      </c>
      <c r="C938" s="106" t="s">
        <v>106</v>
      </c>
      <c r="D938" s="108" t="s">
        <v>106</v>
      </c>
      <c r="E938" s="109">
        <v>3.36</v>
      </c>
    </row>
    <row r="939" spans="1:5" ht="15" x14ac:dyDescent="0.3">
      <c r="A939" s="627"/>
      <c r="B939" s="107" t="s">
        <v>1043</v>
      </c>
      <c r="C939" s="106" t="s">
        <v>106</v>
      </c>
      <c r="D939" s="110" t="s">
        <v>106</v>
      </c>
      <c r="E939" s="111">
        <v>3.37</v>
      </c>
    </row>
    <row r="940" spans="1:5" ht="15" x14ac:dyDescent="0.3">
      <c r="A940" s="627"/>
      <c r="B940" s="107" t="s">
        <v>1044</v>
      </c>
      <c r="C940" s="106" t="s">
        <v>106</v>
      </c>
      <c r="D940" s="108" t="s">
        <v>106</v>
      </c>
      <c r="E940" s="109">
        <v>3.36</v>
      </c>
    </row>
    <row r="941" spans="1:5" ht="15" x14ac:dyDescent="0.3">
      <c r="A941" s="627"/>
      <c r="B941" s="107" t="s">
        <v>1045</v>
      </c>
      <c r="C941" s="106" t="s">
        <v>106</v>
      </c>
      <c r="D941" s="110" t="s">
        <v>106</v>
      </c>
      <c r="E941" s="111">
        <v>3.42</v>
      </c>
    </row>
    <row r="942" spans="1:5" ht="15" x14ac:dyDescent="0.3">
      <c r="A942" s="627"/>
      <c r="B942" s="107" t="s">
        <v>1046</v>
      </c>
      <c r="C942" s="106" t="s">
        <v>106</v>
      </c>
      <c r="D942" s="108" t="s">
        <v>106</v>
      </c>
      <c r="E942" s="109">
        <v>3.44</v>
      </c>
    </row>
    <row r="943" spans="1:5" ht="15" x14ac:dyDescent="0.3">
      <c r="A943" s="627"/>
      <c r="B943" s="107" t="s">
        <v>1047</v>
      </c>
      <c r="C943" s="106" t="s">
        <v>106</v>
      </c>
      <c r="D943" s="110" t="s">
        <v>106</v>
      </c>
      <c r="E943" s="111">
        <v>3.43</v>
      </c>
    </row>
    <row r="944" spans="1:5" ht="15" x14ac:dyDescent="0.3">
      <c r="A944" s="627"/>
      <c r="B944" s="107" t="s">
        <v>1048</v>
      </c>
      <c r="C944" s="106" t="s">
        <v>106</v>
      </c>
      <c r="D944" s="108" t="s">
        <v>106</v>
      </c>
      <c r="E944" s="109">
        <v>3.58</v>
      </c>
    </row>
    <row r="945" spans="1:5" ht="15" x14ac:dyDescent="0.3">
      <c r="A945" s="627"/>
      <c r="B945" s="107" t="s">
        <v>1049</v>
      </c>
      <c r="C945" s="106" t="s">
        <v>106</v>
      </c>
      <c r="D945" s="110" t="s">
        <v>106</v>
      </c>
      <c r="E945" s="111">
        <v>3.51</v>
      </c>
    </row>
    <row r="946" spans="1:5" ht="15" x14ac:dyDescent="0.3">
      <c r="A946" s="627"/>
      <c r="B946" s="107" t="s">
        <v>1050</v>
      </c>
      <c r="C946" s="106" t="s">
        <v>106</v>
      </c>
      <c r="D946" s="108" t="s">
        <v>106</v>
      </c>
      <c r="E946" s="109">
        <v>3.54</v>
      </c>
    </row>
    <row r="947" spans="1:5" ht="15" x14ac:dyDescent="0.3">
      <c r="A947" s="627"/>
      <c r="B947" s="107" t="s">
        <v>1051</v>
      </c>
      <c r="C947" s="106" t="s">
        <v>106</v>
      </c>
      <c r="D947" s="110" t="s">
        <v>106</v>
      </c>
      <c r="E947" s="111">
        <v>3.57</v>
      </c>
    </row>
    <row r="948" spans="1:5" ht="15" x14ac:dyDescent="0.3">
      <c r="A948" s="627"/>
      <c r="B948" s="107" t="s">
        <v>1052</v>
      </c>
      <c r="C948" s="106" t="s">
        <v>106</v>
      </c>
      <c r="D948" s="108" t="s">
        <v>106</v>
      </c>
      <c r="E948" s="109">
        <v>3.64</v>
      </c>
    </row>
    <row r="949" spans="1:5" ht="15" x14ac:dyDescent="0.3">
      <c r="A949" s="627"/>
      <c r="B949" s="107" t="s">
        <v>1053</v>
      </c>
      <c r="C949" s="106" t="s">
        <v>106</v>
      </c>
      <c r="D949" s="110" t="s">
        <v>106</v>
      </c>
      <c r="E949" s="111">
        <v>3.62</v>
      </c>
    </row>
    <row r="950" spans="1:5" ht="15" x14ac:dyDescent="0.3">
      <c r="A950" s="627"/>
      <c r="B950" s="107" t="s">
        <v>1054</v>
      </c>
      <c r="C950" s="106" t="s">
        <v>106</v>
      </c>
      <c r="D950" s="108" t="s">
        <v>106</v>
      </c>
      <c r="E950" s="109">
        <v>3.59</v>
      </c>
    </row>
    <row r="951" spans="1:5" ht="15" x14ac:dyDescent="0.3">
      <c r="A951" s="627"/>
      <c r="B951" s="107" t="s">
        <v>1055</v>
      </c>
      <c r="C951" s="106" t="s">
        <v>106</v>
      </c>
      <c r="D951" s="110" t="s">
        <v>106</v>
      </c>
      <c r="E951" s="111">
        <v>3.54</v>
      </c>
    </row>
    <row r="952" spans="1:5" ht="15" x14ac:dyDescent="0.3">
      <c r="A952" s="627"/>
      <c r="B952" s="107" t="s">
        <v>1056</v>
      </c>
      <c r="C952" s="106" t="s">
        <v>106</v>
      </c>
      <c r="D952" s="108" t="s">
        <v>106</v>
      </c>
      <c r="E952" s="109">
        <v>3.46</v>
      </c>
    </row>
    <row r="953" spans="1:5" ht="15" x14ac:dyDescent="0.3">
      <c r="A953" s="627"/>
      <c r="B953" s="107" t="s">
        <v>1057</v>
      </c>
      <c r="C953" s="106" t="s">
        <v>106</v>
      </c>
      <c r="D953" s="110" t="s">
        <v>106</v>
      </c>
      <c r="E953" s="111">
        <v>3.38</v>
      </c>
    </row>
    <row r="954" spans="1:5" ht="15" x14ac:dyDescent="0.3">
      <c r="A954" s="627"/>
      <c r="B954" s="107" t="s">
        <v>1058</v>
      </c>
      <c r="C954" s="106" t="s">
        <v>106</v>
      </c>
      <c r="D954" s="108" t="s">
        <v>106</v>
      </c>
      <c r="E954" s="109">
        <v>3.37</v>
      </c>
    </row>
    <row r="955" spans="1:5" ht="15" x14ac:dyDescent="0.3">
      <c r="A955" s="627"/>
      <c r="B955" s="107" t="s">
        <v>1059</v>
      </c>
      <c r="C955" s="106" t="s">
        <v>106</v>
      </c>
      <c r="D955" s="110" t="s">
        <v>106</v>
      </c>
      <c r="E955" s="111">
        <v>3.41</v>
      </c>
    </row>
    <row r="956" spans="1:5" ht="15" x14ac:dyDescent="0.3">
      <c r="A956" s="627"/>
      <c r="B956" s="107" t="s">
        <v>1060</v>
      </c>
      <c r="C956" s="106" t="s">
        <v>106</v>
      </c>
      <c r="D956" s="108" t="s">
        <v>106</v>
      </c>
      <c r="E956" s="109">
        <v>3.45</v>
      </c>
    </row>
    <row r="957" spans="1:5" ht="15" x14ac:dyDescent="0.3">
      <c r="A957" s="627"/>
      <c r="B957" s="107" t="s">
        <v>1061</v>
      </c>
      <c r="C957" s="106" t="s">
        <v>106</v>
      </c>
      <c r="D957" s="110" t="s">
        <v>106</v>
      </c>
      <c r="E957" s="111">
        <v>3.48</v>
      </c>
    </row>
    <row r="958" spans="1:5" ht="15" x14ac:dyDescent="0.3">
      <c r="A958" s="627"/>
      <c r="B958" s="107" t="s">
        <v>1062</v>
      </c>
      <c r="C958" s="106" t="s">
        <v>106</v>
      </c>
      <c r="D958" s="108" t="s">
        <v>106</v>
      </c>
      <c r="E958" s="109">
        <v>3.58</v>
      </c>
    </row>
    <row r="959" spans="1:5" ht="15" x14ac:dyDescent="0.3">
      <c r="A959" s="627"/>
      <c r="B959" s="107" t="s">
        <v>1063</v>
      </c>
      <c r="C959" s="106" t="s">
        <v>106</v>
      </c>
      <c r="D959" s="110" t="s">
        <v>106</v>
      </c>
      <c r="E959" s="111">
        <v>3.63</v>
      </c>
    </row>
    <row r="960" spans="1:5" ht="15" x14ac:dyDescent="0.3">
      <c r="A960" s="627"/>
      <c r="B960" s="107" t="s">
        <v>1064</v>
      </c>
      <c r="C960" s="106" t="s">
        <v>106</v>
      </c>
      <c r="D960" s="108" t="s">
        <v>106</v>
      </c>
      <c r="E960" s="109">
        <v>3.59</v>
      </c>
    </row>
    <row r="961" spans="1:5" ht="15" x14ac:dyDescent="0.3">
      <c r="A961" s="627"/>
      <c r="B961" s="107" t="s">
        <v>1065</v>
      </c>
      <c r="C961" s="106" t="s">
        <v>106</v>
      </c>
      <c r="D961" s="110" t="s">
        <v>106</v>
      </c>
      <c r="E961" s="111">
        <v>3.6</v>
      </c>
    </row>
    <row r="962" spans="1:5" ht="15" x14ac:dyDescent="0.3">
      <c r="A962" s="627"/>
      <c r="B962" s="107" t="s">
        <v>1066</v>
      </c>
      <c r="C962" s="106" t="s">
        <v>106</v>
      </c>
      <c r="D962" s="108" t="s">
        <v>106</v>
      </c>
      <c r="E962" s="109">
        <v>3.45</v>
      </c>
    </row>
    <row r="963" spans="1:5" ht="15" x14ac:dyDescent="0.3">
      <c r="A963" s="627"/>
      <c r="B963" s="107" t="s">
        <v>1067</v>
      </c>
      <c r="C963" s="106" t="s">
        <v>106</v>
      </c>
      <c r="D963" s="110" t="s">
        <v>106</v>
      </c>
      <c r="E963" s="111">
        <v>3.51</v>
      </c>
    </row>
    <row r="964" spans="1:5" ht="15" x14ac:dyDescent="0.3">
      <c r="A964" s="627"/>
      <c r="B964" s="107" t="s">
        <v>1068</v>
      </c>
      <c r="C964" s="106" t="s">
        <v>106</v>
      </c>
      <c r="D964" s="108" t="s">
        <v>106</v>
      </c>
      <c r="E964" s="109">
        <v>3.56</v>
      </c>
    </row>
    <row r="965" spans="1:5" ht="15" x14ac:dyDescent="0.3">
      <c r="A965" s="627"/>
      <c r="B965" s="107" t="s">
        <v>1069</v>
      </c>
      <c r="C965" s="106" t="s">
        <v>106</v>
      </c>
      <c r="D965" s="110" t="s">
        <v>106</v>
      </c>
      <c r="E965" s="111">
        <v>3.5</v>
      </c>
    </row>
    <row r="966" spans="1:5" ht="15" x14ac:dyDescent="0.3">
      <c r="A966" s="627"/>
      <c r="B966" s="107" t="s">
        <v>1070</v>
      </c>
      <c r="C966" s="106" t="s">
        <v>106</v>
      </c>
      <c r="D966" s="108" t="s">
        <v>106</v>
      </c>
      <c r="E966" s="109">
        <v>3.45</v>
      </c>
    </row>
    <row r="967" spans="1:5" ht="15" x14ac:dyDescent="0.3">
      <c r="A967" s="627"/>
      <c r="B967" s="107" t="s">
        <v>1071</v>
      </c>
      <c r="C967" s="106" t="s">
        <v>106</v>
      </c>
      <c r="D967" s="110" t="s">
        <v>106</v>
      </c>
      <c r="E967" s="111">
        <v>3.43</v>
      </c>
    </row>
    <row r="968" spans="1:5" ht="15" x14ac:dyDescent="0.3">
      <c r="A968" s="627"/>
      <c r="B968" s="107" t="s">
        <v>1072</v>
      </c>
      <c r="C968" s="106" t="s">
        <v>106</v>
      </c>
      <c r="D968" s="108" t="s">
        <v>106</v>
      </c>
      <c r="E968" s="109">
        <v>3.35</v>
      </c>
    </row>
    <row r="969" spans="1:5" ht="15" x14ac:dyDescent="0.3">
      <c r="A969" s="627"/>
      <c r="B969" s="107" t="s">
        <v>1073</v>
      </c>
      <c r="C969" s="106" t="s">
        <v>106</v>
      </c>
      <c r="D969" s="110" t="s">
        <v>106</v>
      </c>
      <c r="E969" s="111">
        <v>3.36</v>
      </c>
    </row>
    <row r="970" spans="1:5" ht="15" x14ac:dyDescent="0.3">
      <c r="A970" s="627"/>
      <c r="B970" s="107" t="s">
        <v>1074</v>
      </c>
      <c r="C970" s="106" t="s">
        <v>106</v>
      </c>
      <c r="D970" s="108" t="s">
        <v>106</v>
      </c>
      <c r="E970" s="109">
        <v>3.33</v>
      </c>
    </row>
    <row r="971" spans="1:5" ht="15" x14ac:dyDescent="0.3">
      <c r="A971" s="627"/>
      <c r="B971" s="107" t="s">
        <v>1075</v>
      </c>
      <c r="C971" s="106" t="s">
        <v>106</v>
      </c>
      <c r="D971" s="110" t="s">
        <v>106</v>
      </c>
      <c r="E971" s="111">
        <v>3.34</v>
      </c>
    </row>
    <row r="972" spans="1:5" ht="15" x14ac:dyDescent="0.3">
      <c r="A972" s="627"/>
      <c r="B972" s="107" t="s">
        <v>1076</v>
      </c>
      <c r="C972" s="106" t="s">
        <v>106</v>
      </c>
      <c r="D972" s="108" t="s">
        <v>106</v>
      </c>
      <c r="E972" s="109">
        <v>3.28</v>
      </c>
    </row>
    <row r="973" spans="1:5" ht="15" x14ac:dyDescent="0.3">
      <c r="A973" s="627"/>
      <c r="B973" s="107" t="s">
        <v>1077</v>
      </c>
      <c r="C973" s="106" t="s">
        <v>106</v>
      </c>
      <c r="D973" s="110" t="s">
        <v>106</v>
      </c>
      <c r="E973" s="111">
        <v>3.28</v>
      </c>
    </row>
    <row r="974" spans="1:5" ht="15" x14ac:dyDescent="0.3">
      <c r="A974" s="627"/>
      <c r="B974" s="107" t="s">
        <v>1078</v>
      </c>
      <c r="C974" s="106" t="s">
        <v>106</v>
      </c>
      <c r="D974" s="108" t="s">
        <v>106</v>
      </c>
      <c r="E974" s="109">
        <v>3.35</v>
      </c>
    </row>
    <row r="975" spans="1:5" ht="15" x14ac:dyDescent="0.3">
      <c r="A975" s="627"/>
      <c r="B975" s="107" t="s">
        <v>1079</v>
      </c>
      <c r="C975" s="106" t="s">
        <v>106</v>
      </c>
      <c r="D975" s="110" t="s">
        <v>106</v>
      </c>
      <c r="E975" s="111">
        <v>3.31</v>
      </c>
    </row>
    <row r="976" spans="1:5" ht="15" x14ac:dyDescent="0.3">
      <c r="A976" s="627"/>
      <c r="B976" s="107" t="s">
        <v>1080</v>
      </c>
      <c r="C976" s="106" t="s">
        <v>106</v>
      </c>
      <c r="D976" s="108" t="s">
        <v>106</v>
      </c>
      <c r="E976" s="109">
        <v>3.31</v>
      </c>
    </row>
    <row r="977" spans="1:5" ht="15" x14ac:dyDescent="0.3">
      <c r="A977" s="627"/>
      <c r="B977" s="107" t="s">
        <v>1081</v>
      </c>
      <c r="C977" s="106" t="s">
        <v>106</v>
      </c>
      <c r="D977" s="110" t="s">
        <v>106</v>
      </c>
      <c r="E977" s="111">
        <v>3.18</v>
      </c>
    </row>
    <row r="978" spans="1:5" ht="15" x14ac:dyDescent="0.3">
      <c r="A978" s="627"/>
      <c r="B978" s="107" t="s">
        <v>1082</v>
      </c>
      <c r="C978" s="106" t="s">
        <v>106</v>
      </c>
      <c r="D978" s="108" t="s">
        <v>106</v>
      </c>
      <c r="E978" s="109">
        <v>3.22</v>
      </c>
    </row>
    <row r="979" spans="1:5" ht="15" x14ac:dyDescent="0.3">
      <c r="A979" s="627"/>
      <c r="B979" s="107" t="s">
        <v>1083</v>
      </c>
      <c r="C979" s="106" t="s">
        <v>106</v>
      </c>
      <c r="D979" s="110" t="s">
        <v>106</v>
      </c>
      <c r="E979" s="111">
        <v>3.13</v>
      </c>
    </row>
    <row r="980" spans="1:5" ht="15" x14ac:dyDescent="0.3">
      <c r="A980" s="627"/>
      <c r="B980" s="107" t="s">
        <v>1084</v>
      </c>
      <c r="C980" s="106" t="s">
        <v>106</v>
      </c>
      <c r="D980" s="108" t="s">
        <v>106</v>
      </c>
      <c r="E980" s="109">
        <v>3.19</v>
      </c>
    </row>
    <row r="981" spans="1:5" ht="15" x14ac:dyDescent="0.3">
      <c r="A981" s="627"/>
      <c r="B981" s="107" t="s">
        <v>1085</v>
      </c>
      <c r="C981" s="106" t="s">
        <v>106</v>
      </c>
      <c r="D981" s="110" t="s">
        <v>106</v>
      </c>
      <c r="E981" s="111">
        <v>3.19</v>
      </c>
    </row>
    <row r="982" spans="1:5" ht="15" x14ac:dyDescent="0.3">
      <c r="A982" s="627"/>
      <c r="B982" s="107" t="s">
        <v>1086</v>
      </c>
      <c r="C982" s="106" t="s">
        <v>106</v>
      </c>
      <c r="D982" s="108" t="s">
        <v>106</v>
      </c>
      <c r="E982" s="109">
        <v>3.18</v>
      </c>
    </row>
    <row r="983" spans="1:5" ht="15" x14ac:dyDescent="0.3">
      <c r="A983" s="627"/>
      <c r="B983" s="107" t="s">
        <v>1087</v>
      </c>
      <c r="C983" s="106" t="s">
        <v>106</v>
      </c>
      <c r="D983" s="110" t="s">
        <v>106</v>
      </c>
      <c r="E983" s="111">
        <v>3.18</v>
      </c>
    </row>
    <row r="984" spans="1:5" ht="15" x14ac:dyDescent="0.3">
      <c r="A984" s="627"/>
      <c r="B984" s="107" t="s">
        <v>1088</v>
      </c>
      <c r="C984" s="106" t="s">
        <v>106</v>
      </c>
      <c r="D984" s="108" t="s">
        <v>106</v>
      </c>
      <c r="E984" s="109">
        <v>3.25</v>
      </c>
    </row>
    <row r="985" spans="1:5" ht="15" x14ac:dyDescent="0.3">
      <c r="A985" s="627"/>
      <c r="B985" s="107" t="s">
        <v>1089</v>
      </c>
      <c r="C985" s="106" t="s">
        <v>106</v>
      </c>
      <c r="D985" s="110" t="s">
        <v>106</v>
      </c>
      <c r="E985" s="111">
        <v>3.25</v>
      </c>
    </row>
    <row r="986" spans="1:5" ht="15" x14ac:dyDescent="0.3">
      <c r="A986" s="627"/>
      <c r="B986" s="107" t="s">
        <v>1090</v>
      </c>
      <c r="C986" s="106" t="s">
        <v>106</v>
      </c>
      <c r="D986" s="108" t="s">
        <v>106</v>
      </c>
      <c r="E986" s="109">
        <v>3.15</v>
      </c>
    </row>
    <row r="987" spans="1:5" ht="15" x14ac:dyDescent="0.3">
      <c r="A987" s="627"/>
      <c r="B987" s="107" t="s">
        <v>1091</v>
      </c>
      <c r="C987" s="106" t="s">
        <v>106</v>
      </c>
      <c r="D987" s="110" t="s">
        <v>106</v>
      </c>
      <c r="E987" s="111">
        <v>3.06</v>
      </c>
    </row>
    <row r="988" spans="1:5" ht="15" x14ac:dyDescent="0.3">
      <c r="A988" s="627"/>
      <c r="B988" s="107" t="s">
        <v>1092</v>
      </c>
      <c r="C988" s="106" t="s">
        <v>106</v>
      </c>
      <c r="D988" s="108" t="s">
        <v>106</v>
      </c>
      <c r="E988" s="109">
        <v>3.03</v>
      </c>
    </row>
    <row r="989" spans="1:5" ht="15" x14ac:dyDescent="0.3">
      <c r="A989" s="627"/>
      <c r="B989" s="107" t="s">
        <v>1093</v>
      </c>
      <c r="C989" s="106" t="s">
        <v>106</v>
      </c>
      <c r="D989" s="110" t="s">
        <v>106</v>
      </c>
      <c r="E989" s="111">
        <v>3.03</v>
      </c>
    </row>
    <row r="990" spans="1:5" ht="15" x14ac:dyDescent="0.3">
      <c r="A990" s="627"/>
      <c r="B990" s="107" t="s">
        <v>1094</v>
      </c>
      <c r="C990" s="106" t="s">
        <v>106</v>
      </c>
      <c r="D990" s="108" t="s">
        <v>106</v>
      </c>
      <c r="E990" s="109">
        <v>2.97</v>
      </c>
    </row>
    <row r="991" spans="1:5" ht="15" x14ac:dyDescent="0.3">
      <c r="A991" s="627"/>
      <c r="B991" s="107" t="s">
        <v>1095</v>
      </c>
      <c r="C991" s="106" t="s">
        <v>106</v>
      </c>
      <c r="D991" s="110" t="s">
        <v>106</v>
      </c>
      <c r="E991" s="111">
        <v>2.9</v>
      </c>
    </row>
    <row r="992" spans="1:5" ht="15" x14ac:dyDescent="0.3">
      <c r="A992" s="627"/>
      <c r="B992" s="107" t="s">
        <v>1096</v>
      </c>
      <c r="C992" s="106" t="s">
        <v>106</v>
      </c>
      <c r="D992" s="108" t="s">
        <v>106</v>
      </c>
      <c r="E992" s="109">
        <v>2.85</v>
      </c>
    </row>
    <row r="993" spans="1:5" ht="15" x14ac:dyDescent="0.3">
      <c r="A993" s="627"/>
      <c r="B993" s="107" t="s">
        <v>1097</v>
      </c>
      <c r="C993" s="106" t="s">
        <v>106</v>
      </c>
      <c r="D993" s="110" t="s">
        <v>106</v>
      </c>
      <c r="E993" s="111">
        <v>2.76</v>
      </c>
    </row>
    <row r="994" spans="1:5" ht="15" x14ac:dyDescent="0.3">
      <c r="A994" s="627"/>
      <c r="B994" s="107" t="s">
        <v>1098</v>
      </c>
      <c r="C994" s="106" t="s">
        <v>106</v>
      </c>
      <c r="D994" s="108" t="s">
        <v>106</v>
      </c>
      <c r="E994" s="109">
        <v>2.82</v>
      </c>
    </row>
    <row r="995" spans="1:5" ht="15" x14ac:dyDescent="0.3">
      <c r="A995" s="627"/>
      <c r="B995" s="107" t="s">
        <v>1099</v>
      </c>
      <c r="C995" s="106" t="s">
        <v>106</v>
      </c>
      <c r="D995" s="110" t="s">
        <v>106</v>
      </c>
      <c r="E995" s="111">
        <v>2.85</v>
      </c>
    </row>
    <row r="996" spans="1:5" ht="15" x14ac:dyDescent="0.3">
      <c r="A996" s="627"/>
      <c r="B996" s="107" t="s">
        <v>1100</v>
      </c>
      <c r="C996" s="106" t="s">
        <v>106</v>
      </c>
      <c r="D996" s="108" t="s">
        <v>106</v>
      </c>
      <c r="E996" s="109">
        <v>2.82</v>
      </c>
    </row>
    <row r="997" spans="1:5" ht="15" x14ac:dyDescent="0.3">
      <c r="A997" s="627"/>
      <c r="B997" s="107" t="s">
        <v>1101</v>
      </c>
      <c r="C997" s="106" t="s">
        <v>106</v>
      </c>
      <c r="D997" s="110" t="s">
        <v>106</v>
      </c>
      <c r="E997" s="111">
        <v>2.79</v>
      </c>
    </row>
    <row r="998" spans="1:5" ht="15" x14ac:dyDescent="0.3">
      <c r="A998" s="627"/>
      <c r="B998" s="107" t="s">
        <v>1102</v>
      </c>
      <c r="C998" s="106" t="s">
        <v>106</v>
      </c>
      <c r="D998" s="108" t="s">
        <v>106</v>
      </c>
      <c r="E998" s="109">
        <v>2.62</v>
      </c>
    </row>
    <row r="999" spans="1:5" ht="15" x14ac:dyDescent="0.3">
      <c r="A999" s="627"/>
      <c r="B999" s="107" t="s">
        <v>1103</v>
      </c>
      <c r="C999" s="106" t="s">
        <v>106</v>
      </c>
      <c r="D999" s="110" t="s">
        <v>106</v>
      </c>
      <c r="E999" s="111">
        <v>2.61</v>
      </c>
    </row>
    <row r="1000" spans="1:5" ht="15" x14ac:dyDescent="0.3">
      <c r="A1000" s="627"/>
      <c r="B1000" s="107" t="s">
        <v>1104</v>
      </c>
      <c r="C1000" s="106" t="s">
        <v>106</v>
      </c>
      <c r="D1000" s="108" t="s">
        <v>106</v>
      </c>
      <c r="E1000" s="109">
        <v>2.59</v>
      </c>
    </row>
    <row r="1001" spans="1:5" ht="15" x14ac:dyDescent="0.3">
      <c r="A1001" s="627"/>
      <c r="B1001" s="107" t="s">
        <v>1105</v>
      </c>
      <c r="C1001" s="106" t="s">
        <v>106</v>
      </c>
      <c r="D1001" s="110" t="s">
        <v>106</v>
      </c>
      <c r="E1001" s="111">
        <v>2.6</v>
      </c>
    </row>
    <row r="1002" spans="1:5" ht="15" x14ac:dyDescent="0.3">
      <c r="A1002" s="627"/>
      <c r="B1002" s="107" t="s">
        <v>1106</v>
      </c>
      <c r="C1002" s="106" t="s">
        <v>106</v>
      </c>
      <c r="D1002" s="108" t="s">
        <v>106</v>
      </c>
      <c r="E1002" s="109">
        <v>2.5499999999999998</v>
      </c>
    </row>
    <row r="1003" spans="1:5" ht="15" x14ac:dyDescent="0.3">
      <c r="A1003" s="627"/>
      <c r="B1003" s="107" t="s">
        <v>1107</v>
      </c>
      <c r="C1003" s="106" t="s">
        <v>106</v>
      </c>
      <c r="D1003" s="110" t="s">
        <v>106</v>
      </c>
      <c r="E1003" s="111">
        <v>2.52</v>
      </c>
    </row>
    <row r="1004" spans="1:5" ht="15" x14ac:dyDescent="0.3">
      <c r="A1004" s="627"/>
      <c r="B1004" s="107" t="s">
        <v>1108</v>
      </c>
      <c r="C1004" s="106" t="s">
        <v>106</v>
      </c>
      <c r="D1004" s="108" t="s">
        <v>106</v>
      </c>
      <c r="E1004" s="109">
        <v>2.52</v>
      </c>
    </row>
    <row r="1005" spans="1:5" ht="15" x14ac:dyDescent="0.3">
      <c r="A1005" s="627"/>
      <c r="B1005" s="107" t="s">
        <v>1109</v>
      </c>
      <c r="C1005" s="106" t="s">
        <v>106</v>
      </c>
      <c r="D1005" s="110" t="s">
        <v>106</v>
      </c>
      <c r="E1005" s="111">
        <v>2.4900000000000002</v>
      </c>
    </row>
    <row r="1006" spans="1:5" ht="15" x14ac:dyDescent="0.3">
      <c r="A1006" s="627"/>
      <c r="B1006" s="107" t="s">
        <v>1110</v>
      </c>
      <c r="C1006" s="106" t="s">
        <v>106</v>
      </c>
      <c r="D1006" s="108" t="s">
        <v>106</v>
      </c>
      <c r="E1006" s="109">
        <v>2.4900000000000002</v>
      </c>
    </row>
    <row r="1007" spans="1:5" ht="15" x14ac:dyDescent="0.3">
      <c r="A1007" s="627"/>
      <c r="B1007" s="107" t="s">
        <v>1111</v>
      </c>
      <c r="C1007" s="106" t="s">
        <v>106</v>
      </c>
      <c r="D1007" s="110" t="s">
        <v>106</v>
      </c>
      <c r="E1007" s="111">
        <v>2.58</v>
      </c>
    </row>
    <row r="1008" spans="1:5" ht="15" x14ac:dyDescent="0.3">
      <c r="A1008" s="627"/>
      <c r="B1008" s="107" t="s">
        <v>1112</v>
      </c>
      <c r="C1008" s="106" t="s">
        <v>106</v>
      </c>
      <c r="D1008" s="108" t="s">
        <v>106</v>
      </c>
      <c r="E1008" s="109">
        <v>2.66</v>
      </c>
    </row>
    <row r="1009" spans="1:5" ht="15" x14ac:dyDescent="0.3">
      <c r="A1009" s="627"/>
      <c r="B1009" s="107" t="s">
        <v>1113</v>
      </c>
      <c r="C1009" s="106" t="s">
        <v>106</v>
      </c>
      <c r="D1009" s="110" t="s">
        <v>106</v>
      </c>
      <c r="E1009" s="111">
        <v>2.64</v>
      </c>
    </row>
    <row r="1010" spans="1:5" ht="15" x14ac:dyDescent="0.3">
      <c r="A1010" s="627"/>
      <c r="B1010" s="107" t="s">
        <v>1114</v>
      </c>
      <c r="C1010" s="106" t="s">
        <v>106</v>
      </c>
      <c r="D1010" s="108" t="s">
        <v>106</v>
      </c>
      <c r="E1010" s="109">
        <v>2.64</v>
      </c>
    </row>
    <row r="1011" spans="1:5" ht="15" x14ac:dyDescent="0.3">
      <c r="A1011" s="627"/>
      <c r="B1011" s="107" t="s">
        <v>1115</v>
      </c>
      <c r="C1011" s="106" t="s">
        <v>106</v>
      </c>
      <c r="D1011" s="110" t="s">
        <v>106</v>
      </c>
      <c r="E1011" s="111">
        <v>2.73</v>
      </c>
    </row>
    <row r="1012" spans="1:5" ht="15" x14ac:dyDescent="0.3">
      <c r="A1012" s="627"/>
      <c r="B1012" s="107" t="s">
        <v>1116</v>
      </c>
      <c r="C1012" s="106" t="s">
        <v>106</v>
      </c>
      <c r="D1012" s="108" t="s">
        <v>106</v>
      </c>
      <c r="E1012" s="109">
        <v>2.73</v>
      </c>
    </row>
    <row r="1013" spans="1:5" ht="15" x14ac:dyDescent="0.3">
      <c r="A1013" s="627"/>
      <c r="B1013" s="107" t="s">
        <v>1117</v>
      </c>
      <c r="C1013" s="106" t="s">
        <v>106</v>
      </c>
      <c r="D1013" s="110" t="s">
        <v>106</v>
      </c>
      <c r="E1013" s="111">
        <v>2.77</v>
      </c>
    </row>
    <row r="1014" spans="1:5" ht="15" x14ac:dyDescent="0.3">
      <c r="A1014" s="627"/>
      <c r="B1014" s="107" t="s">
        <v>1118</v>
      </c>
      <c r="C1014" s="106" t="s">
        <v>106</v>
      </c>
      <c r="D1014" s="108" t="s">
        <v>106</v>
      </c>
      <c r="E1014" s="109">
        <v>2.73</v>
      </c>
    </row>
    <row r="1015" spans="1:5" ht="15" x14ac:dyDescent="0.3">
      <c r="A1015" s="627"/>
      <c r="B1015" s="107" t="s">
        <v>1119</v>
      </c>
      <c r="C1015" s="106" t="s">
        <v>106</v>
      </c>
      <c r="D1015" s="110" t="s">
        <v>106</v>
      </c>
      <c r="E1015" s="111">
        <v>2.75</v>
      </c>
    </row>
    <row r="1016" spans="1:5" ht="15" x14ac:dyDescent="0.3">
      <c r="A1016" s="627"/>
      <c r="B1016" s="107" t="s">
        <v>1120</v>
      </c>
      <c r="C1016" s="106" t="s">
        <v>106</v>
      </c>
      <c r="D1016" s="108" t="s">
        <v>106</v>
      </c>
      <c r="E1016" s="109">
        <v>2.73</v>
      </c>
    </row>
    <row r="1017" spans="1:5" ht="15" x14ac:dyDescent="0.3">
      <c r="A1017" s="627"/>
      <c r="B1017" s="107" t="s">
        <v>1121</v>
      </c>
      <c r="C1017" s="106" t="s">
        <v>106</v>
      </c>
      <c r="D1017" s="110" t="s">
        <v>106</v>
      </c>
      <c r="E1017" s="111">
        <v>2.73</v>
      </c>
    </row>
    <row r="1018" spans="1:5" ht="15" x14ac:dyDescent="0.3">
      <c r="A1018" s="627"/>
      <c r="B1018" s="107" t="s">
        <v>1122</v>
      </c>
      <c r="C1018" s="106" t="s">
        <v>106</v>
      </c>
      <c r="D1018" s="108" t="s">
        <v>106</v>
      </c>
      <c r="E1018" s="109">
        <v>2.75</v>
      </c>
    </row>
    <row r="1019" spans="1:5" ht="15" x14ac:dyDescent="0.3">
      <c r="A1019" s="628"/>
      <c r="B1019" s="107" t="s">
        <v>1123</v>
      </c>
      <c r="C1019" s="106" t="s">
        <v>106</v>
      </c>
      <c r="D1019" s="110" t="s">
        <v>106</v>
      </c>
      <c r="E1019" s="111">
        <v>2.9</v>
      </c>
    </row>
    <row r="1020" spans="1:5" x14ac:dyDescent="0.3">
      <c r="A1020" s="112" t="s">
        <v>1124</v>
      </c>
    </row>
    <row r="1021" spans="1:5" x14ac:dyDescent="0.3">
      <c r="B1021" t="s">
        <v>1815</v>
      </c>
      <c r="C1021" t="s">
        <v>106</v>
      </c>
      <c r="D1021" t="s">
        <v>106</v>
      </c>
    </row>
    <row r="1022" spans="1:5" x14ac:dyDescent="0.3">
      <c r="D1022">
        <v>2.67</v>
      </c>
    </row>
    <row r="1023" spans="1:5" x14ac:dyDescent="0.3">
      <c r="B1023" t="s">
        <v>1816</v>
      </c>
      <c r="C1023" t="s">
        <v>106</v>
      </c>
      <c r="D1023" t="s">
        <v>106</v>
      </c>
    </row>
    <row r="1024" spans="1:5" x14ac:dyDescent="0.3">
      <c r="D1024">
        <v>2.67</v>
      </c>
    </row>
    <row r="1025" spans="2:4" x14ac:dyDescent="0.3">
      <c r="B1025" t="s">
        <v>1817</v>
      </c>
      <c r="C1025" t="s">
        <v>106</v>
      </c>
      <c r="D1025" t="s">
        <v>106</v>
      </c>
    </row>
    <row r="1026" spans="2:4" x14ac:dyDescent="0.3">
      <c r="D1026">
        <v>2.67</v>
      </c>
    </row>
    <row r="1027" spans="2:4" x14ac:dyDescent="0.3">
      <c r="B1027" t="s">
        <v>1818</v>
      </c>
      <c r="C1027" t="s">
        <v>106</v>
      </c>
      <c r="D1027" t="s">
        <v>106</v>
      </c>
    </row>
    <row r="1028" spans="2:4" x14ac:dyDescent="0.3">
      <c r="D1028">
        <v>2.65</v>
      </c>
    </row>
    <row r="1029" spans="2:4" x14ac:dyDescent="0.3">
      <c r="B1029" t="s">
        <v>1819</v>
      </c>
      <c r="C1029" t="s">
        <v>106</v>
      </c>
      <c r="D1029" t="s">
        <v>106</v>
      </c>
    </row>
    <row r="1030" spans="2:4" x14ac:dyDescent="0.3">
      <c r="D1030">
        <v>2.64</v>
      </c>
    </row>
    <row r="1031" spans="2:4" x14ac:dyDescent="0.3">
      <c r="B1031" t="s">
        <v>1820</v>
      </c>
      <c r="C1031" t="s">
        <v>106</v>
      </c>
      <c r="D1031" t="s">
        <v>106</v>
      </c>
    </row>
    <row r="1032" spans="2:4" x14ac:dyDescent="0.3">
      <c r="D1032">
        <v>2.64</v>
      </c>
    </row>
    <row r="1033" spans="2:4" x14ac:dyDescent="0.3">
      <c r="B1033" t="s">
        <v>1821</v>
      </c>
      <c r="C1033" t="s">
        <v>106</v>
      </c>
      <c r="D1033" t="s">
        <v>106</v>
      </c>
    </row>
    <row r="1034" spans="2:4" x14ac:dyDescent="0.3">
      <c r="D1034">
        <v>2.64</v>
      </c>
    </row>
    <row r="1035" spans="2:4" x14ac:dyDescent="0.3">
      <c r="B1035" t="s">
        <v>1822</v>
      </c>
      <c r="C1035" t="s">
        <v>106</v>
      </c>
      <c r="D1035" t="s">
        <v>106</v>
      </c>
    </row>
    <row r="1036" spans="2:4" x14ac:dyDescent="0.3">
      <c r="D1036">
        <v>2.68</v>
      </c>
    </row>
    <row r="1037" spans="2:4" x14ac:dyDescent="0.3">
      <c r="B1037" t="s">
        <v>1823</v>
      </c>
      <c r="C1037" t="s">
        <v>106</v>
      </c>
      <c r="D1037" t="s">
        <v>106</v>
      </c>
    </row>
    <row r="1038" spans="2:4" x14ac:dyDescent="0.3">
      <c r="D1038">
        <v>2.72</v>
      </c>
    </row>
    <row r="1039" spans="2:4" x14ac:dyDescent="0.3">
      <c r="B1039" t="s">
        <v>1824</v>
      </c>
      <c r="C1039" t="s">
        <v>106</v>
      </c>
      <c r="D1039" t="s">
        <v>106</v>
      </c>
    </row>
    <row r="1040" spans="2:4" x14ac:dyDescent="0.3">
      <c r="D1040">
        <v>2.8</v>
      </c>
    </row>
    <row r="1041" spans="2:4" x14ac:dyDescent="0.3">
      <c r="B1041" t="s">
        <v>1825</v>
      </c>
      <c r="C1041" t="s">
        <v>106</v>
      </c>
      <c r="D1041" t="s">
        <v>106</v>
      </c>
    </row>
    <row r="1042" spans="2:4" x14ac:dyDescent="0.3">
      <c r="D1042">
        <v>2.84</v>
      </c>
    </row>
    <row r="1043" spans="2:4" x14ac:dyDescent="0.3">
      <c r="B1043" t="s">
        <v>1826</v>
      </c>
      <c r="C1043" t="s">
        <v>106</v>
      </c>
      <c r="D1043" t="s">
        <v>106</v>
      </c>
    </row>
    <row r="1044" spans="2:4" x14ac:dyDescent="0.3">
      <c r="D1044">
        <v>2.83</v>
      </c>
    </row>
    <row r="1045" spans="2:4" x14ac:dyDescent="0.3">
      <c r="B1045" t="s">
        <v>1827</v>
      </c>
      <c r="C1045" t="s">
        <v>106</v>
      </c>
      <c r="D1045" t="s">
        <v>106</v>
      </c>
    </row>
    <row r="1046" spans="2:4" x14ac:dyDescent="0.3">
      <c r="D1046">
        <v>2.85</v>
      </c>
    </row>
    <row r="1047" spans="2:4" x14ac:dyDescent="0.3">
      <c r="B1047" t="s">
        <v>1828</v>
      </c>
      <c r="C1047" t="s">
        <v>106</v>
      </c>
      <c r="D1047" t="s">
        <v>106</v>
      </c>
    </row>
    <row r="1048" spans="2:4" x14ac:dyDescent="0.3">
      <c r="D1048">
        <v>2.89</v>
      </c>
    </row>
    <row r="1049" spans="2:4" x14ac:dyDescent="0.3">
      <c r="B1049" t="s">
        <v>1829</v>
      </c>
      <c r="C1049" t="s">
        <v>106</v>
      </c>
      <c r="D1049" t="s">
        <v>106</v>
      </c>
    </row>
    <row r="1050" spans="2:4" x14ac:dyDescent="0.3">
      <c r="D1050">
        <v>2.91</v>
      </c>
    </row>
    <row r="1051" spans="2:4" x14ac:dyDescent="0.3">
      <c r="B1051" t="s">
        <v>1830</v>
      </c>
      <c r="C1051" t="s">
        <v>106</v>
      </c>
      <c r="D1051" t="s">
        <v>106</v>
      </c>
    </row>
    <row r="1052" spans="2:4" x14ac:dyDescent="0.3">
      <c r="D1052">
        <v>2.92</v>
      </c>
    </row>
    <row r="1053" spans="2:4" x14ac:dyDescent="0.3">
      <c r="B1053" t="s">
        <v>1831</v>
      </c>
      <c r="C1053" t="s">
        <v>106</v>
      </c>
      <c r="D1053" t="s">
        <v>106</v>
      </c>
    </row>
    <row r="1054" spans="2:4" x14ac:dyDescent="0.3">
      <c r="D1054">
        <v>2.94</v>
      </c>
    </row>
    <row r="1055" spans="2:4" x14ac:dyDescent="0.3">
      <c r="B1055" t="s">
        <v>1832</v>
      </c>
      <c r="C1055" t="s">
        <v>106</v>
      </c>
      <c r="D1055" t="s">
        <v>106</v>
      </c>
    </row>
    <row r="1056" spans="2:4" x14ac:dyDescent="0.3">
      <c r="D1056">
        <v>3.01</v>
      </c>
    </row>
    <row r="1057" spans="2:4" x14ac:dyDescent="0.3">
      <c r="B1057" t="s">
        <v>1833</v>
      </c>
      <c r="C1057" t="s">
        <v>106</v>
      </c>
      <c r="D1057" t="s">
        <v>106</v>
      </c>
    </row>
    <row r="1058" spans="2:4" x14ac:dyDescent="0.3">
      <c r="D1058">
        <v>3</v>
      </c>
    </row>
    <row r="1059" spans="2:4" x14ac:dyDescent="0.3">
      <c r="B1059" t="s">
        <v>1834</v>
      </c>
      <c r="C1059" t="s">
        <v>106</v>
      </c>
      <c r="D1059" t="s">
        <v>106</v>
      </c>
    </row>
    <row r="1060" spans="2:4" x14ac:dyDescent="0.3">
      <c r="D1060">
        <v>2.97</v>
      </c>
    </row>
  </sheetData>
  <sheetProtection algorithmName="SHA-512" hashValue="VHjkavu3dEY13w6d8Cy4Hd8gM4URMUcYM1Gj6q9LDhLEmGHyengrt9ciS1iXbTj0bWfb1teXaNI9uKbfkKdzuw==" saltValue="RT+oeu10FkrW3HZhzPP5Bw==" spinCount="100000" sheet="1" objects="1" scenarios="1"/>
  <mergeCells count="4">
    <mergeCell ref="A2:C2"/>
    <mergeCell ref="D2:E2"/>
    <mergeCell ref="D3:E3"/>
    <mergeCell ref="A4:A1019"/>
  </mergeCells>
  <hyperlinks>
    <hyperlink ref="A1" r:id="rId1" tooltip="Click once to display linked information. Click and hold to select this cell." display="https://stat.nbb.be/OECDStat_Metadata/ShowMetadata.ashx?Dataset=IROLOYLD&amp;ShowOnWeb=true&amp;Lang=en" xr:uid="{C211BDB7-D7AB-49F9-AB84-5F5D5D3CB8F8}"/>
    <hyperlink ref="A1020" r:id="rId2" tooltip="Click once to display linked information. Click and hold to select this cell." display="https://stat.nbb.be/" xr:uid="{3460A2AF-439C-4162-BCF8-A99AF52034B0}"/>
    <hyperlink ref="H2" r:id="rId3" display="https://stat.nbb.be/Index.aspx?DataSetCode=IROLOBE2" xr:uid="{3DA4E367-DDD5-460D-9E4F-D4063F47D8D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7">
    <tabColor rgb="FF92D050"/>
    <pageSetUpPr fitToPage="1"/>
  </sheetPr>
  <dimension ref="A1:AB202"/>
  <sheetViews>
    <sheetView tabSelected="1" topLeftCell="B1" zoomScale="118" zoomScaleNormal="118" workbookViewId="0">
      <pane ySplit="1" topLeftCell="A198" activePane="bottomLeft" state="frozen"/>
      <selection activeCell="E44" sqref="E44:H44"/>
      <selection pane="bottomLeft" activeCell="B200" sqref="B200"/>
    </sheetView>
  </sheetViews>
  <sheetFormatPr defaultColWidth="9.109375" defaultRowHeight="14.4" x14ac:dyDescent="0.3"/>
  <cols>
    <col min="1" max="1" width="3.6640625" customWidth="1"/>
    <col min="2" max="2" width="26.44140625" customWidth="1"/>
    <col min="3" max="3" width="18.109375" customWidth="1"/>
    <col min="4" max="4" width="38.21875" bestFit="1" customWidth="1"/>
    <col min="5" max="5" width="25.77734375" bestFit="1" customWidth="1"/>
    <col min="6" max="6" width="57.44140625" bestFit="1" customWidth="1"/>
    <col min="7" max="7" width="26.77734375" customWidth="1"/>
    <col min="8" max="8" width="18" customWidth="1"/>
    <col min="9" max="9" width="29.5546875" customWidth="1"/>
    <col min="10" max="10" width="13.44140625" customWidth="1"/>
    <col min="11" max="11" width="20.5546875" customWidth="1"/>
    <col min="12" max="12" width="21.88671875" customWidth="1"/>
    <col min="13" max="13" width="19.44140625" customWidth="1"/>
    <col min="14" max="14" width="8.77734375" customWidth="1"/>
    <col min="15" max="15" width="15.33203125" customWidth="1"/>
    <col min="16" max="16" width="10.88671875" customWidth="1"/>
    <col min="17" max="17" width="15.88671875" customWidth="1"/>
    <col min="18" max="18" width="29.5546875" customWidth="1"/>
    <col min="19" max="19" width="26.88671875" customWidth="1"/>
    <col min="20" max="20" width="21.5546875" customWidth="1"/>
    <col min="21" max="21" width="23.88671875" customWidth="1"/>
    <col min="22" max="22" width="59" customWidth="1"/>
    <col min="23" max="23" width="60.5546875" customWidth="1"/>
    <col min="24" max="24" width="49.44140625" customWidth="1"/>
    <col min="25" max="25" width="12.44140625" customWidth="1"/>
    <col min="26" max="26" width="37.33203125" customWidth="1"/>
    <col min="27" max="27" width="35.109375" customWidth="1"/>
    <col min="28" max="28" width="30.44140625" customWidth="1"/>
    <col min="29" max="29" width="5.6640625" customWidth="1"/>
    <col min="30" max="30" width="8" customWidth="1"/>
    <col min="31" max="31" width="8.6640625" bestFit="1" customWidth="1"/>
    <col min="32" max="32" width="25.88671875" customWidth="1"/>
    <col min="33" max="33" width="19.44140625" customWidth="1"/>
    <col min="34" max="34" width="9.44140625" customWidth="1"/>
    <col min="35" max="35" width="14.109375" customWidth="1"/>
    <col min="36" max="36" width="3.33203125" bestFit="1" customWidth="1"/>
  </cols>
  <sheetData>
    <row r="1" spans="1:17" s="2" customFormat="1" ht="32.25" customHeight="1" x14ac:dyDescent="0.6">
      <c r="A1" s="643" t="s">
        <v>1125</v>
      </c>
      <c r="B1" s="644"/>
      <c r="C1" s="644"/>
      <c r="D1" s="644"/>
      <c r="E1" s="644"/>
      <c r="F1" s="644"/>
      <c r="G1" s="644"/>
      <c r="H1" s="644"/>
      <c r="I1" s="644"/>
      <c r="J1" s="644"/>
      <c r="K1" s="644"/>
      <c r="L1" s="644"/>
      <c r="M1" s="644"/>
      <c r="N1" s="644"/>
      <c r="O1" s="644"/>
      <c r="P1" s="644"/>
      <c r="Q1" s="644"/>
    </row>
    <row r="2" spans="1:17" x14ac:dyDescent="0.3">
      <c r="A2" s="86"/>
      <c r="B2" s="149" t="s">
        <v>1126</v>
      </c>
      <c r="E2" s="25"/>
      <c r="F2" s="10"/>
      <c r="G2" s="11"/>
      <c r="I2" s="87"/>
      <c r="J2" s="87"/>
      <c r="K2" s="87"/>
      <c r="L2" s="87"/>
      <c r="M2" s="87"/>
      <c r="N2" s="87"/>
      <c r="O2" s="87"/>
      <c r="P2" s="87"/>
      <c r="Q2" s="87"/>
    </row>
    <row r="3" spans="1:17" ht="15" thickBot="1" x14ac:dyDescent="0.35">
      <c r="A3" s="86"/>
      <c r="B3" s="257" t="s">
        <v>1692</v>
      </c>
      <c r="C3" s="255"/>
      <c r="D3" s="255"/>
      <c r="E3" s="25"/>
      <c r="F3" s="10"/>
      <c r="G3" s="11"/>
      <c r="I3" s="87"/>
      <c r="J3" s="87"/>
      <c r="K3" s="87"/>
      <c r="L3" s="87"/>
      <c r="M3" s="87"/>
      <c r="N3" s="87"/>
      <c r="O3" s="87"/>
      <c r="P3" s="87"/>
      <c r="Q3" s="87"/>
    </row>
    <row r="4" spans="1:17" x14ac:dyDescent="0.3">
      <c r="A4" s="86"/>
      <c r="B4" s="629" t="s">
        <v>1662</v>
      </c>
      <c r="C4" s="630"/>
      <c r="D4" s="630"/>
      <c r="E4" s="630"/>
      <c r="F4" s="630"/>
      <c r="G4" s="630"/>
      <c r="H4" s="630"/>
      <c r="I4" s="630"/>
      <c r="J4" s="630"/>
      <c r="K4" s="630"/>
      <c r="L4" s="630"/>
      <c r="M4" s="630"/>
      <c r="N4" s="630"/>
      <c r="O4" s="630"/>
      <c r="P4" s="630"/>
      <c r="Q4" s="631"/>
    </row>
    <row r="5" spans="1:17" x14ac:dyDescent="0.3">
      <c r="A5" s="86"/>
      <c r="B5" s="632"/>
      <c r="C5" s="633"/>
      <c r="D5" s="633"/>
      <c r="E5" s="633"/>
      <c r="F5" s="633"/>
      <c r="G5" s="633"/>
      <c r="H5" s="633"/>
      <c r="I5" s="633"/>
      <c r="J5" s="633"/>
      <c r="K5" s="633"/>
      <c r="L5" s="633"/>
      <c r="M5" s="633"/>
      <c r="N5" s="633"/>
      <c r="O5" s="633"/>
      <c r="P5" s="633"/>
      <c r="Q5" s="634"/>
    </row>
    <row r="6" spans="1:17" x14ac:dyDescent="0.3">
      <c r="A6" s="86"/>
      <c r="B6" s="632"/>
      <c r="C6" s="633"/>
      <c r="D6" s="633"/>
      <c r="E6" s="633"/>
      <c r="F6" s="633"/>
      <c r="G6" s="633"/>
      <c r="H6" s="633"/>
      <c r="I6" s="633"/>
      <c r="J6" s="633"/>
      <c r="K6" s="633"/>
      <c r="L6" s="633"/>
      <c r="M6" s="633"/>
      <c r="N6" s="633"/>
      <c r="O6" s="633"/>
      <c r="P6" s="633"/>
      <c r="Q6" s="634"/>
    </row>
    <row r="7" spans="1:17" ht="15" thickBot="1" x14ac:dyDescent="0.35">
      <c r="A7" s="86"/>
      <c r="B7" s="635"/>
      <c r="C7" s="636"/>
      <c r="D7" s="636"/>
      <c r="E7" s="636"/>
      <c r="F7" s="636"/>
      <c r="G7" s="636"/>
      <c r="H7" s="636"/>
      <c r="I7" s="636"/>
      <c r="J7" s="636"/>
      <c r="K7" s="636"/>
      <c r="L7" s="636"/>
      <c r="M7" s="636"/>
      <c r="N7" s="636"/>
      <c r="O7" s="636"/>
      <c r="P7" s="636"/>
      <c r="Q7" s="637"/>
    </row>
    <row r="8" spans="1:17" x14ac:dyDescent="0.3">
      <c r="A8" s="80"/>
    </row>
    <row r="9" spans="1:17" x14ac:dyDescent="0.3">
      <c r="A9" s="645" t="s">
        <v>1127</v>
      </c>
      <c r="B9" s="646"/>
      <c r="C9" s="646"/>
      <c r="D9" s="646"/>
      <c r="E9" s="646"/>
      <c r="F9" s="646"/>
      <c r="G9" s="646"/>
      <c r="H9" s="646"/>
      <c r="I9" s="646"/>
      <c r="J9" s="646"/>
      <c r="K9" s="646"/>
      <c r="L9" s="646"/>
      <c r="M9" s="646"/>
      <c r="N9" s="646"/>
      <c r="O9" s="646"/>
      <c r="P9" s="646"/>
      <c r="Q9" s="646"/>
    </row>
    <row r="10" spans="1:17" ht="15" thickBot="1" x14ac:dyDescent="0.35">
      <c r="A10" s="647"/>
      <c r="B10" s="26"/>
      <c r="C10" s="26"/>
      <c r="D10" s="26"/>
      <c r="E10" s="26"/>
      <c r="F10" s="26"/>
      <c r="G10" s="26"/>
      <c r="H10" s="26"/>
      <c r="I10" s="26"/>
      <c r="J10" s="26"/>
      <c r="K10" s="26"/>
      <c r="L10" s="26"/>
      <c r="M10" s="26"/>
      <c r="N10" s="26"/>
      <c r="O10" s="26"/>
      <c r="P10" s="26"/>
      <c r="Q10" s="26"/>
    </row>
    <row r="11" spans="1:17" ht="15" thickBot="1" x14ac:dyDescent="0.35">
      <c r="A11" s="648"/>
      <c r="B11" s="26" t="s">
        <v>1128</v>
      </c>
      <c r="C11" s="26"/>
      <c r="D11" s="26"/>
      <c r="E11" s="62">
        <f>IFERROR(G39+G65+G85+G126,0)</f>
        <v>0</v>
      </c>
      <c r="F11" s="40" t="s">
        <v>1129</v>
      </c>
      <c r="G11" s="26"/>
      <c r="H11" s="26"/>
      <c r="I11" s="26"/>
      <c r="J11" s="26"/>
      <c r="K11" s="26"/>
      <c r="L11" s="26"/>
      <c r="M11" s="26"/>
      <c r="N11" s="26"/>
      <c r="O11" s="26"/>
      <c r="P11" s="26"/>
      <c r="Q11" s="26"/>
    </row>
    <row r="12" spans="1:17" x14ac:dyDescent="0.3">
      <c r="A12" s="648"/>
      <c r="D12" s="1"/>
    </row>
    <row r="13" spans="1:17" x14ac:dyDescent="0.3">
      <c r="A13" s="648"/>
      <c r="B13" s="649" t="s">
        <v>1130</v>
      </c>
      <c r="C13" s="650"/>
      <c r="D13" s="650"/>
      <c r="E13" s="650"/>
      <c r="F13" s="650"/>
      <c r="G13" s="650"/>
      <c r="H13" s="650"/>
      <c r="I13" s="650"/>
      <c r="J13" s="650"/>
      <c r="K13" s="650"/>
      <c r="L13" s="650"/>
      <c r="M13" s="650"/>
      <c r="N13" s="650"/>
      <c r="O13" s="650"/>
      <c r="P13" s="650"/>
      <c r="Q13" s="650"/>
    </row>
    <row r="14" spans="1:17" ht="15" thickBot="1" x14ac:dyDescent="0.35">
      <c r="A14" s="648"/>
      <c r="B14" s="10"/>
    </row>
    <row r="15" spans="1:17" x14ac:dyDescent="0.3">
      <c r="A15" s="648"/>
      <c r="B15" s="651" t="s">
        <v>1809</v>
      </c>
      <c r="C15" s="652"/>
      <c r="D15" s="652"/>
      <c r="E15" s="652"/>
      <c r="F15" s="652"/>
      <c r="G15" s="652"/>
      <c r="H15" s="652"/>
      <c r="I15" s="652"/>
      <c r="J15" s="652"/>
      <c r="K15" s="652"/>
      <c r="L15" s="652"/>
      <c r="M15" s="652"/>
      <c r="N15" s="652"/>
      <c r="O15" s="652"/>
      <c r="P15" s="652"/>
      <c r="Q15" s="653"/>
    </row>
    <row r="16" spans="1:17" ht="55.8" customHeight="1" thickBot="1" x14ac:dyDescent="0.35">
      <c r="A16" s="648"/>
      <c r="B16" s="654"/>
      <c r="C16" s="655"/>
      <c r="D16" s="655"/>
      <c r="E16" s="655"/>
      <c r="F16" s="655"/>
      <c r="G16" s="655"/>
      <c r="H16" s="655"/>
      <c r="I16" s="655"/>
      <c r="J16" s="655"/>
      <c r="K16" s="655"/>
      <c r="L16" s="655"/>
      <c r="M16" s="655"/>
      <c r="N16" s="655"/>
      <c r="O16" s="655"/>
      <c r="P16" s="655"/>
      <c r="Q16" s="656"/>
    </row>
    <row r="17" spans="1:19" x14ac:dyDescent="0.3">
      <c r="A17" s="648"/>
      <c r="B17" s="8"/>
      <c r="E17" s="22"/>
      <c r="F17" s="9"/>
      <c r="G17" s="9"/>
    </row>
    <row r="18" spans="1:19" x14ac:dyDescent="0.3">
      <c r="A18" s="648"/>
      <c r="B18" s="5" t="s">
        <v>1131</v>
      </c>
      <c r="E18" s="21"/>
      <c r="S18" s="13"/>
    </row>
    <row r="19" spans="1:19" x14ac:dyDescent="0.3">
      <c r="A19" s="648"/>
      <c r="B19" s="5"/>
      <c r="S19" s="13"/>
    </row>
    <row r="20" spans="1:19" x14ac:dyDescent="0.3">
      <c r="A20" s="648"/>
      <c r="B20" s="14"/>
      <c r="C20" s="14"/>
      <c r="D20" s="15"/>
      <c r="E20" s="657" t="s">
        <v>1132</v>
      </c>
      <c r="F20" s="658"/>
      <c r="G20" s="659"/>
      <c r="H20" s="657" t="s">
        <v>1133</v>
      </c>
      <c r="I20" s="658"/>
      <c r="J20" s="659"/>
      <c r="K20" s="4"/>
      <c r="L20" s="4"/>
      <c r="M20" s="4"/>
      <c r="N20" s="4"/>
      <c r="O20" s="4"/>
      <c r="P20" s="4"/>
    </row>
    <row r="21" spans="1:19" x14ac:dyDescent="0.3">
      <c r="A21" s="648"/>
      <c r="B21" s="660" t="s">
        <v>1134</v>
      </c>
      <c r="C21" s="661"/>
      <c r="D21" s="662"/>
      <c r="E21" s="663">
        <v>0</v>
      </c>
      <c r="F21" s="664"/>
      <c r="G21" s="665"/>
      <c r="H21" s="663">
        <v>0</v>
      </c>
      <c r="I21" s="664"/>
      <c r="J21" s="665"/>
      <c r="K21" s="9" t="s">
        <v>1135</v>
      </c>
      <c r="L21" s="4"/>
      <c r="M21" s="5"/>
      <c r="N21" s="5"/>
      <c r="O21" s="5"/>
      <c r="P21" s="5"/>
      <c r="Q21" s="63"/>
      <c r="R21" s="1"/>
    </row>
    <row r="22" spans="1:19" x14ac:dyDescent="0.3">
      <c r="A22" s="648"/>
      <c r="B22" s="660" t="s">
        <v>1136</v>
      </c>
      <c r="C22" s="661"/>
      <c r="D22" s="662"/>
      <c r="E22" s="663"/>
      <c r="F22" s="664"/>
      <c r="G22" s="665"/>
      <c r="H22" s="663"/>
      <c r="I22" s="664"/>
      <c r="J22" s="665"/>
      <c r="K22" s="9" t="s">
        <v>1137</v>
      </c>
      <c r="L22" s="4"/>
      <c r="M22" s="4"/>
      <c r="N22" s="4"/>
      <c r="O22" s="4"/>
      <c r="P22" s="4"/>
      <c r="Q22" s="5"/>
      <c r="R22" s="64"/>
    </row>
    <row r="23" spans="1:19" x14ac:dyDescent="0.3">
      <c r="A23" s="648"/>
      <c r="B23" s="660" t="s">
        <v>1138</v>
      </c>
      <c r="C23" s="661"/>
      <c r="D23" s="662"/>
      <c r="E23" s="663"/>
      <c r="F23" s="664"/>
      <c r="G23" s="665"/>
      <c r="H23" s="663"/>
      <c r="I23" s="664"/>
      <c r="J23" s="665"/>
      <c r="K23" s="9" t="s">
        <v>1139</v>
      </c>
      <c r="L23" s="38"/>
      <c r="M23" s="4"/>
      <c r="N23" s="4"/>
      <c r="O23" s="4"/>
      <c r="P23" s="4"/>
      <c r="Q23" s="5"/>
      <c r="R23" s="1"/>
    </row>
    <row r="24" spans="1:19" x14ac:dyDescent="0.3">
      <c r="A24" s="648"/>
      <c r="B24" s="666" t="s">
        <v>1140</v>
      </c>
      <c r="C24" s="667"/>
      <c r="D24" s="668"/>
      <c r="E24" s="669">
        <f>E21-E22-E23</f>
        <v>0</v>
      </c>
      <c r="F24" s="670"/>
      <c r="G24" s="671"/>
      <c r="H24" s="669">
        <f>H21-H22-H23</f>
        <v>0</v>
      </c>
      <c r="I24" s="670"/>
      <c r="J24" s="671"/>
      <c r="K24" s="11" t="s">
        <v>1141</v>
      </c>
      <c r="L24" s="4"/>
      <c r="M24" s="4"/>
      <c r="N24" s="4"/>
      <c r="O24" s="4"/>
      <c r="P24" s="4"/>
      <c r="Q24" s="5"/>
      <c r="R24" s="1"/>
    </row>
    <row r="25" spans="1:19" x14ac:dyDescent="0.3">
      <c r="A25" s="648"/>
      <c r="B25" s="672" t="s">
        <v>1142</v>
      </c>
      <c r="C25" s="673"/>
      <c r="D25" s="674"/>
      <c r="E25" s="675">
        <f>IF(bouwkost_werken&gt;0,25*-PMT('Generieke input'!D56,25,bouwkost_netto_werken)-bouwkost_netto_werken,0)</f>
        <v>0</v>
      </c>
      <c r="F25" s="676"/>
      <c r="G25" s="677"/>
      <c r="H25" s="675">
        <f>10*-PMT('Generieke input'!D56,10,bouwkost_werken_meubilair)-bouwkost_werken_meubilair</f>
        <v>0</v>
      </c>
      <c r="I25" s="676"/>
      <c r="J25" s="677"/>
      <c r="K25" s="11" t="s">
        <v>1141</v>
      </c>
      <c r="L25" s="11"/>
      <c r="M25" s="11"/>
      <c r="N25" s="11"/>
      <c r="O25" s="11"/>
      <c r="P25" s="11"/>
      <c r="Q25" s="11"/>
      <c r="R25" s="1"/>
    </row>
    <row r="26" spans="1:19" s="1" customFormat="1" x14ac:dyDescent="0.3">
      <c r="A26" s="648"/>
      <c r="B26" s="666" t="s">
        <v>1143</v>
      </c>
      <c r="C26" s="667"/>
      <c r="D26" s="668"/>
      <c r="E26" s="669">
        <f>E24+E25</f>
        <v>0</v>
      </c>
      <c r="F26" s="670"/>
      <c r="G26" s="671"/>
      <c r="H26" s="669">
        <f t="shared" ref="H26" si="0">H24+H25</f>
        <v>0</v>
      </c>
      <c r="I26" s="670"/>
      <c r="J26" s="671"/>
      <c r="K26" s="11" t="s">
        <v>1141</v>
      </c>
      <c r="L26" s="4"/>
      <c r="M26" s="38"/>
      <c r="N26" s="38"/>
      <c r="O26" s="38"/>
      <c r="P26" s="38"/>
      <c r="Q26" s="5"/>
    </row>
    <row r="27" spans="1:19" s="1" customFormat="1" x14ac:dyDescent="0.3">
      <c r="A27" s="648"/>
      <c r="B27" s="660" t="s">
        <v>1144</v>
      </c>
      <c r="C27" s="661"/>
      <c r="D27" s="662"/>
      <c r="E27" s="663">
        <v>0</v>
      </c>
      <c r="F27" s="664"/>
      <c r="G27" s="665"/>
      <c r="H27" s="689">
        <v>0</v>
      </c>
      <c r="I27" s="690"/>
      <c r="J27" s="691"/>
      <c r="K27" s="9" t="s">
        <v>1145</v>
      </c>
      <c r="L27" s="4"/>
      <c r="M27" s="4"/>
      <c r="N27" s="4"/>
      <c r="O27" s="4"/>
      <c r="P27" s="4"/>
      <c r="Q27" s="5"/>
    </row>
    <row r="28" spans="1:19" s="1" customFormat="1" x14ac:dyDescent="0.3">
      <c r="A28" s="648"/>
      <c r="B28" s="698" t="s">
        <v>1146</v>
      </c>
      <c r="C28" s="699"/>
      <c r="D28" s="700"/>
      <c r="E28" s="669">
        <f>E26+onroerende_voorheffing</f>
        <v>0</v>
      </c>
      <c r="F28" s="670"/>
      <c r="G28" s="671"/>
      <c r="H28" s="669">
        <f>H26+onroerende_voorheffing</f>
        <v>0</v>
      </c>
      <c r="I28" s="670"/>
      <c r="J28" s="671"/>
      <c r="K28" s="11" t="s">
        <v>1141</v>
      </c>
      <c r="L28" s="4"/>
      <c r="M28" s="4"/>
      <c r="N28" s="4"/>
      <c r="O28" s="4"/>
      <c r="P28" s="4"/>
      <c r="Q28" s="5"/>
    </row>
    <row r="29" spans="1:19" ht="42.75" customHeight="1" x14ac:dyDescent="0.3">
      <c r="A29" s="648"/>
      <c r="B29" s="701" t="s">
        <v>1147</v>
      </c>
      <c r="C29" s="702"/>
      <c r="D29" s="703"/>
      <c r="E29" s="681">
        <f>'Generieke input'!F36</f>
        <v>0</v>
      </c>
      <c r="F29" s="682"/>
      <c r="G29" s="683"/>
      <c r="H29" s="684">
        <f>erkende_plaatsen1</f>
        <v>0</v>
      </c>
      <c r="I29" s="685"/>
      <c r="J29" s="686"/>
      <c r="K29" s="678" t="s">
        <v>1693</v>
      </c>
      <c r="L29" s="679"/>
      <c r="M29" s="679"/>
      <c r="N29" s="679"/>
      <c r="O29" s="679"/>
      <c r="P29" s="679"/>
      <c r="Q29" s="679"/>
      <c r="R29" s="680"/>
    </row>
    <row r="30" spans="1:19" x14ac:dyDescent="0.3">
      <c r="A30" s="648"/>
      <c r="B30" s="660" t="s">
        <v>1781</v>
      </c>
      <c r="C30" s="661"/>
      <c r="D30" s="662"/>
      <c r="E30" s="681">
        <v>25</v>
      </c>
      <c r="F30" s="682"/>
      <c r="G30" s="683"/>
      <c r="H30" s="684">
        <v>10</v>
      </c>
      <c r="I30" s="685"/>
      <c r="J30" s="686"/>
      <c r="K30" s="687" t="s">
        <v>1149</v>
      </c>
      <c r="L30" s="688"/>
      <c r="M30" s="688"/>
      <c r="N30" s="688"/>
      <c r="O30" s="688"/>
      <c r="P30" s="688"/>
      <c r="Q30" s="688"/>
      <c r="R30" s="1"/>
    </row>
    <row r="31" spans="1:19" x14ac:dyDescent="0.3">
      <c r="A31" s="648"/>
      <c r="B31" s="692" t="s">
        <v>1150</v>
      </c>
      <c r="C31" s="693"/>
      <c r="D31" s="694"/>
      <c r="E31" s="695">
        <v>365</v>
      </c>
      <c r="F31" s="696"/>
      <c r="G31" s="697"/>
      <c r="H31" s="695">
        <v>365</v>
      </c>
      <c r="I31" s="696"/>
      <c r="J31" s="697"/>
      <c r="K31" s="9" t="s">
        <v>1151</v>
      </c>
      <c r="L31" s="65"/>
      <c r="M31" s="65"/>
      <c r="N31" s="65"/>
      <c r="O31" s="65"/>
      <c r="P31" s="65"/>
      <c r="Q31" s="1"/>
      <c r="R31" s="1"/>
    </row>
    <row r="32" spans="1:19" x14ac:dyDescent="0.3">
      <c r="A32" s="648"/>
      <c r="B32" s="692" t="s">
        <v>1152</v>
      </c>
      <c r="C32" s="693"/>
      <c r="D32" s="694"/>
      <c r="E32" s="704">
        <f>'Generieke input'!AA47</f>
        <v>0</v>
      </c>
      <c r="F32" s="705"/>
      <c r="G32" s="706"/>
      <c r="H32" s="704">
        <f>bezettingsgraad_werken</f>
        <v>0</v>
      </c>
      <c r="I32" s="705"/>
      <c r="J32" s="706"/>
      <c r="K32" s="9" t="s">
        <v>1694</v>
      </c>
      <c r="L32" s="11"/>
      <c r="M32" s="11"/>
      <c r="N32" s="11"/>
      <c r="O32" s="11"/>
      <c r="P32" s="11"/>
      <c r="Q32" s="11"/>
      <c r="R32" s="1"/>
    </row>
    <row r="33" spans="1:20" x14ac:dyDescent="0.3">
      <c r="A33" s="648"/>
      <c r="B33" s="698" t="s">
        <v>1153</v>
      </c>
      <c r="C33" s="699"/>
      <c r="D33" s="700"/>
      <c r="E33" s="707">
        <f>IFERROR(E28/E30/E31/E29/E32,0)</f>
        <v>0</v>
      </c>
      <c r="F33" s="708"/>
      <c r="G33" s="709"/>
      <c r="H33" s="707">
        <f>IFERROR(H28/H30/H31/H29/H32,0)</f>
        <v>0</v>
      </c>
      <c r="I33" s="708"/>
      <c r="J33" s="709"/>
      <c r="K33" s="49"/>
      <c r="L33" s="50"/>
      <c r="M33" s="50"/>
      <c r="N33" s="50"/>
      <c r="O33" s="50"/>
      <c r="P33" s="50"/>
    </row>
    <row r="34" spans="1:20" x14ac:dyDescent="0.3">
      <c r="A34" s="648"/>
      <c r="B34" s="12"/>
      <c r="C34" s="12"/>
      <c r="D34" s="12"/>
      <c r="E34" s="12"/>
      <c r="F34" s="12"/>
      <c r="G34" s="12"/>
      <c r="H34" s="12"/>
      <c r="I34" s="12"/>
      <c r="J34" s="12"/>
      <c r="K34" s="6"/>
      <c r="L34" s="6"/>
      <c r="M34" s="6"/>
      <c r="N34" s="6"/>
      <c r="O34" s="6"/>
      <c r="P34" s="6"/>
    </row>
    <row r="35" spans="1:20" x14ac:dyDescent="0.3">
      <c r="A35" s="648"/>
      <c r="B35" s="688"/>
      <c r="C35" s="710"/>
      <c r="D35" s="710"/>
      <c r="E35" s="710"/>
      <c r="F35" s="710"/>
      <c r="G35" s="710"/>
      <c r="H35" s="710"/>
      <c r="I35" s="710"/>
      <c r="J35" s="710"/>
      <c r="K35" s="11"/>
      <c r="L35" s="6"/>
      <c r="M35" s="6"/>
      <c r="N35" s="6"/>
      <c r="O35" s="6"/>
      <c r="P35" s="6"/>
    </row>
    <row r="36" spans="1:20" x14ac:dyDescent="0.3">
      <c r="A36" s="648"/>
      <c r="C36" s="3"/>
      <c r="D36" s="3"/>
      <c r="E36" s="3"/>
      <c r="L36" t="s">
        <v>1154</v>
      </c>
    </row>
    <row r="37" spans="1:20" x14ac:dyDescent="0.3">
      <c r="A37" s="648"/>
      <c r="B37" s="698" t="s">
        <v>1155</v>
      </c>
      <c r="C37" s="699"/>
      <c r="D37" s="699"/>
      <c r="E37" s="699"/>
      <c r="F37" s="700"/>
      <c r="G37" s="723">
        <f>IFERROR((nettobouwkost_werken/afschrijvingsduur_nieuwbouw+nettobouwkost_meubilair/afschrijvingsduur_meubilair)/(erkende_plaatsen1*365*bezettingsgraad_werken),0)</f>
        <v>0</v>
      </c>
      <c r="H37" s="724"/>
      <c r="I37" s="725"/>
      <c r="J37" s="11" t="s">
        <v>1156</v>
      </c>
      <c r="M37" s="39"/>
      <c r="N37" s="39"/>
      <c r="O37" s="39"/>
      <c r="P37" s="39"/>
      <c r="T37" s="39"/>
    </row>
    <row r="38" spans="1:20" x14ac:dyDescent="0.3">
      <c r="A38" s="648"/>
      <c r="B38" s="726" t="s">
        <v>1157</v>
      </c>
      <c r="C38" s="699"/>
      <c r="D38" s="699"/>
      <c r="E38" s="699"/>
      <c r="F38" s="700"/>
      <c r="G38" s="723">
        <f>forfait</f>
        <v>6.29</v>
      </c>
      <c r="H38" s="724"/>
      <c r="I38" s="725"/>
      <c r="J38" s="11" t="s">
        <v>1695</v>
      </c>
      <c r="L38" s="39"/>
      <c r="M38" s="39"/>
      <c r="N38" s="39"/>
      <c r="O38" s="39"/>
      <c r="P38" s="39"/>
    </row>
    <row r="39" spans="1:20" x14ac:dyDescent="0.3">
      <c r="A39" s="648"/>
      <c r="B39" s="698" t="s">
        <v>1158</v>
      </c>
      <c r="C39" s="699"/>
      <c r="D39" s="699"/>
      <c r="E39" s="699"/>
      <c r="F39" s="700"/>
      <c r="G39" s="723">
        <f>MAX(infrastructuurcomponent_dagprijs-G38,0)</f>
        <v>0</v>
      </c>
      <c r="H39" s="724"/>
      <c r="I39" s="725"/>
      <c r="J39" s="11" t="s">
        <v>1156</v>
      </c>
      <c r="M39" s="39"/>
      <c r="N39" s="39"/>
      <c r="O39" s="39"/>
      <c r="P39" s="39"/>
    </row>
    <row r="40" spans="1:20" ht="66.75" customHeight="1" x14ac:dyDescent="0.3">
      <c r="A40" s="648"/>
      <c r="B40" s="698" t="s">
        <v>1159</v>
      </c>
      <c r="C40" s="699"/>
      <c r="D40" s="699"/>
      <c r="E40" s="699"/>
      <c r="F40" s="700"/>
      <c r="G40" s="711" t="s">
        <v>1778</v>
      </c>
      <c r="H40" s="712"/>
      <c r="I40" s="712"/>
      <c r="J40" s="712"/>
      <c r="K40" s="712"/>
      <c r="L40" s="712"/>
      <c r="M40" s="712"/>
      <c r="N40" s="712"/>
      <c r="O40" s="712"/>
      <c r="P40" s="712"/>
      <c r="Q40" s="713"/>
    </row>
    <row r="41" spans="1:20" ht="27.75" customHeight="1" x14ac:dyDescent="0.3">
      <c r="A41" s="648"/>
      <c r="B41" s="714" t="s">
        <v>1160</v>
      </c>
      <c r="C41" s="715"/>
      <c r="D41" s="715"/>
      <c r="E41" s="715"/>
      <c r="F41" s="715"/>
      <c r="G41" s="715"/>
      <c r="H41" s="715"/>
      <c r="I41" s="715"/>
      <c r="J41" s="715"/>
      <c r="K41" s="715"/>
      <c r="L41" s="715"/>
      <c r="M41" s="715"/>
      <c r="N41" s="715"/>
      <c r="O41" s="715"/>
      <c r="P41" s="715"/>
      <c r="Q41" s="716"/>
    </row>
    <row r="42" spans="1:20" x14ac:dyDescent="0.3">
      <c r="A42" s="648"/>
      <c r="C42" s="16"/>
      <c r="D42" s="16"/>
      <c r="E42" s="16"/>
    </row>
    <row r="43" spans="1:20" ht="78" customHeight="1" x14ac:dyDescent="0.3">
      <c r="A43" s="648"/>
      <c r="B43" s="717" t="s">
        <v>1161</v>
      </c>
      <c r="C43" s="718"/>
      <c r="D43" s="718"/>
      <c r="E43" s="719"/>
      <c r="F43" s="720" t="s">
        <v>1810</v>
      </c>
      <c r="G43" s="721"/>
      <c r="H43" s="721"/>
      <c r="I43" s="721"/>
      <c r="J43" s="721"/>
      <c r="K43" s="721"/>
      <c r="L43" s="721"/>
      <c r="M43" s="721"/>
      <c r="N43" s="721"/>
      <c r="O43" s="721"/>
      <c r="P43" s="721"/>
      <c r="Q43" s="722"/>
    </row>
    <row r="44" spans="1:20" x14ac:dyDescent="0.3">
      <c r="A44" s="648"/>
      <c r="B44" s="17"/>
      <c r="C44" s="17"/>
      <c r="D44" s="17"/>
      <c r="E44" s="17"/>
      <c r="F44" s="7"/>
      <c r="G44" s="7"/>
      <c r="H44" s="7"/>
      <c r="I44" s="7"/>
      <c r="J44" s="7"/>
      <c r="K44" s="7"/>
      <c r="L44" s="7"/>
      <c r="M44" s="7"/>
      <c r="N44" s="7"/>
      <c r="O44" s="7"/>
      <c r="P44" s="7"/>
      <c r="Q44" s="7"/>
    </row>
    <row r="45" spans="1:20" x14ac:dyDescent="0.3">
      <c r="A45" s="648"/>
      <c r="B45" s="649" t="s">
        <v>1162</v>
      </c>
      <c r="C45" s="650"/>
      <c r="D45" s="650"/>
      <c r="E45" s="650"/>
      <c r="F45" s="650"/>
      <c r="G45" s="650"/>
      <c r="H45" s="650"/>
      <c r="I45" s="650"/>
      <c r="J45" s="650"/>
      <c r="K45" s="650"/>
      <c r="L45" s="650"/>
      <c r="M45" s="650"/>
      <c r="N45" s="650"/>
      <c r="O45" s="650"/>
      <c r="P45" s="650"/>
      <c r="Q45" s="650"/>
      <c r="S45" s="2"/>
    </row>
    <row r="46" spans="1:20" x14ac:dyDescent="0.3">
      <c r="A46" s="648"/>
      <c r="B46" s="77"/>
      <c r="C46" s="77"/>
      <c r="D46" s="77"/>
      <c r="E46" s="77"/>
      <c r="F46" s="77"/>
      <c r="G46" s="77"/>
      <c r="H46" s="77"/>
      <c r="I46" s="77"/>
      <c r="J46" s="77"/>
      <c r="K46" s="77"/>
      <c r="L46" s="77"/>
      <c r="M46" s="77"/>
      <c r="N46" s="77"/>
      <c r="O46" s="77"/>
      <c r="P46" s="77"/>
      <c r="Q46" s="77"/>
      <c r="S46" s="2"/>
    </row>
    <row r="47" spans="1:20" x14ac:dyDescent="0.3">
      <c r="A47" s="648"/>
      <c r="B47" s="727" t="s">
        <v>1737</v>
      </c>
      <c r="C47" s="728"/>
      <c r="D47" s="728"/>
      <c r="E47" s="728"/>
      <c r="F47" s="728"/>
      <c r="G47" s="728"/>
      <c r="H47" s="728"/>
      <c r="I47" s="728"/>
      <c r="J47" s="728"/>
      <c r="K47" s="728"/>
      <c r="L47" s="728"/>
      <c r="M47" s="728"/>
      <c r="N47" s="728"/>
      <c r="O47" s="728"/>
      <c r="P47" s="728"/>
      <c r="Q47" s="729"/>
      <c r="S47" s="2"/>
    </row>
    <row r="48" spans="1:20" x14ac:dyDescent="0.3">
      <c r="A48" s="648"/>
      <c r="B48" s="730"/>
      <c r="C48" s="731"/>
      <c r="D48" s="731"/>
      <c r="E48" s="731"/>
      <c r="F48" s="731"/>
      <c r="G48" s="731"/>
      <c r="H48" s="731"/>
      <c r="I48" s="731"/>
      <c r="J48" s="731"/>
      <c r="K48" s="731"/>
      <c r="L48" s="731"/>
      <c r="M48" s="731"/>
      <c r="N48" s="731"/>
      <c r="O48" s="731"/>
      <c r="P48" s="731"/>
      <c r="Q48" s="732"/>
      <c r="S48" s="2"/>
    </row>
    <row r="49" spans="1:23" s="9" customFormat="1" x14ac:dyDescent="0.3">
      <c r="A49" s="648"/>
      <c r="B49" s="90"/>
      <c r="C49" s="88"/>
      <c r="D49" s="88"/>
      <c r="E49" s="88"/>
      <c r="F49" s="88"/>
      <c r="G49" s="88"/>
      <c r="H49" s="88"/>
      <c r="I49" s="88"/>
      <c r="J49" s="88"/>
      <c r="K49" s="88"/>
      <c r="L49" s="88"/>
      <c r="M49" s="88"/>
      <c r="N49" s="88"/>
      <c r="O49" s="88"/>
      <c r="P49" s="88"/>
      <c r="Q49" s="88"/>
      <c r="R49" s="466">
        <f>SUM(E51:Q51,E21:J21)</f>
        <v>0</v>
      </c>
    </row>
    <row r="50" spans="1:23" x14ac:dyDescent="0.3">
      <c r="A50" s="648"/>
      <c r="B50" s="27"/>
      <c r="C50" s="28"/>
      <c r="D50" s="28"/>
      <c r="E50" s="733" t="s">
        <v>1163</v>
      </c>
      <c r="F50" s="734"/>
      <c r="G50" s="733" t="s">
        <v>1164</v>
      </c>
      <c r="H50" s="735"/>
      <c r="I50" s="734"/>
      <c r="J50" s="733" t="s">
        <v>1165</v>
      </c>
      <c r="K50" s="735"/>
      <c r="L50" s="734"/>
      <c r="M50" s="733" t="s">
        <v>1166</v>
      </c>
      <c r="N50" s="735"/>
      <c r="O50" s="735"/>
      <c r="P50" s="735"/>
      <c r="Q50" s="736"/>
      <c r="R50" s="2" t="s">
        <v>1712</v>
      </c>
      <c r="S50" s="2"/>
    </row>
    <row r="51" spans="1:23" x14ac:dyDescent="0.3">
      <c r="A51" s="648"/>
      <c r="B51" s="29" t="s">
        <v>1167</v>
      </c>
      <c r="C51" s="30"/>
      <c r="D51" s="30"/>
      <c r="E51" s="663">
        <v>0</v>
      </c>
      <c r="F51" s="665"/>
      <c r="G51" s="737">
        <f>'Bijlage investeringsoverzicht'!C243</f>
        <v>0</v>
      </c>
      <c r="H51" s="738"/>
      <c r="I51" s="739"/>
      <c r="J51" s="663">
        <f>'Bijlage investeringsoverzicht'!D216</f>
        <v>0</v>
      </c>
      <c r="K51" s="664"/>
      <c r="L51" s="665"/>
      <c r="M51" s="663">
        <f>'Bijlage investeringsoverzicht'!C239</f>
        <v>0</v>
      </c>
      <c r="N51" s="664"/>
      <c r="O51" s="664"/>
      <c r="P51" s="664"/>
      <c r="Q51" s="665"/>
      <c r="R51" s="2" t="s">
        <v>33</v>
      </c>
      <c r="S51" s="2"/>
    </row>
    <row r="52" spans="1:23" x14ac:dyDescent="0.3">
      <c r="A52" s="648"/>
      <c r="B52" s="31" t="s">
        <v>1168</v>
      </c>
      <c r="C52" s="32"/>
      <c r="D52" s="32"/>
      <c r="E52" s="743"/>
      <c r="F52" s="744"/>
      <c r="G52" s="745"/>
      <c r="H52" s="746"/>
      <c r="I52" s="747"/>
      <c r="J52" s="745"/>
      <c r="K52" s="746"/>
      <c r="L52" s="747"/>
      <c r="M52" s="745"/>
      <c r="N52" s="746"/>
      <c r="O52" s="746"/>
      <c r="P52" s="746"/>
      <c r="Q52" s="747"/>
      <c r="R52" s="2" t="s">
        <v>33</v>
      </c>
      <c r="S52" s="2"/>
    </row>
    <row r="53" spans="1:23" x14ac:dyDescent="0.3">
      <c r="A53" s="648"/>
      <c r="B53" s="31" t="s">
        <v>1138</v>
      </c>
      <c r="C53" s="32"/>
      <c r="D53" s="32"/>
      <c r="E53" s="663"/>
      <c r="F53" s="665"/>
      <c r="G53" s="745"/>
      <c r="H53" s="746"/>
      <c r="I53" s="747"/>
      <c r="J53" s="745"/>
      <c r="K53" s="746"/>
      <c r="L53" s="747"/>
      <c r="M53" s="745"/>
      <c r="N53" s="746"/>
      <c r="O53" s="746"/>
      <c r="P53" s="746"/>
      <c r="Q53" s="747"/>
      <c r="R53" s="2" t="s">
        <v>33</v>
      </c>
      <c r="S53" s="2"/>
    </row>
    <row r="54" spans="1:23" x14ac:dyDescent="0.3">
      <c r="A54" s="648"/>
      <c r="B54" s="33" t="s">
        <v>1169</v>
      </c>
      <c r="C54" s="34"/>
      <c r="D54" s="34"/>
      <c r="E54" s="675">
        <f>E51-ABS(E52)-ABS(E53)</f>
        <v>0</v>
      </c>
      <c r="F54" s="677"/>
      <c r="G54" s="740">
        <f>G51-ABS(G52)-ABS(G53)</f>
        <v>0</v>
      </c>
      <c r="H54" s="741"/>
      <c r="I54" s="742"/>
      <c r="J54" s="740">
        <f>J51-ABS(J52)-ABS(J53)</f>
        <v>0</v>
      </c>
      <c r="K54" s="741"/>
      <c r="L54" s="742"/>
      <c r="M54" s="740">
        <f>M51-ABS(M52)-ABS(M53)</f>
        <v>0</v>
      </c>
      <c r="N54" s="741"/>
      <c r="O54" s="741"/>
      <c r="P54" s="741"/>
      <c r="Q54" s="742"/>
      <c r="R54" s="2" t="s">
        <v>1141</v>
      </c>
      <c r="S54" s="2"/>
    </row>
    <row r="55" spans="1:23" x14ac:dyDescent="0.3">
      <c r="A55" s="648"/>
      <c r="B55" s="31" t="s">
        <v>1142</v>
      </c>
      <c r="C55" s="32"/>
      <c r="D55" s="32"/>
      <c r="E55" s="675">
        <f>IFERROR(-PMT('Generieke input'!D56,E59,E54)*E59-E54,0)</f>
        <v>0</v>
      </c>
      <c r="F55" s="676"/>
      <c r="G55" s="675">
        <f>IFERROR(-PMT('Generieke input'!D56,G59,G54)*G59-G54,0)</f>
        <v>0</v>
      </c>
      <c r="H55" s="676"/>
      <c r="I55" s="677"/>
      <c r="J55" s="675">
        <f>IFERROR(-PMT('Generieke input'!D56,J59,J54)*J59-J54,0)</f>
        <v>0</v>
      </c>
      <c r="K55" s="676"/>
      <c r="L55" s="677"/>
      <c r="M55" s="675">
        <f>IFERROR(-PMT('Generieke input'!D56,M59,M54)*M59-M54,0)</f>
        <v>0</v>
      </c>
      <c r="N55" s="676"/>
      <c r="O55" s="676"/>
      <c r="P55" s="676"/>
      <c r="Q55" s="676"/>
      <c r="R55" s="155" t="s">
        <v>1141</v>
      </c>
      <c r="S55" s="2"/>
    </row>
    <row r="56" spans="1:23" x14ac:dyDescent="0.3">
      <c r="A56" s="648"/>
      <c r="B56" s="33" t="s">
        <v>1170</v>
      </c>
      <c r="C56" s="34"/>
      <c r="D56" s="34"/>
      <c r="E56" s="675">
        <f>E54+E55</f>
        <v>0</v>
      </c>
      <c r="F56" s="677"/>
      <c r="G56" s="740">
        <f>G54+G55</f>
        <v>0</v>
      </c>
      <c r="H56" s="741"/>
      <c r="I56" s="742"/>
      <c r="J56" s="740">
        <f>J54+J55</f>
        <v>0</v>
      </c>
      <c r="K56" s="741"/>
      <c r="L56" s="742"/>
      <c r="M56" s="740">
        <f>M54+M55</f>
        <v>0</v>
      </c>
      <c r="N56" s="741"/>
      <c r="O56" s="741"/>
      <c r="P56" s="741"/>
      <c r="Q56" s="742"/>
      <c r="R56" s="2" t="s">
        <v>1141</v>
      </c>
      <c r="S56" s="2"/>
    </row>
    <row r="57" spans="1:23" x14ac:dyDescent="0.3">
      <c r="A57" s="648"/>
      <c r="B57" s="31" t="s">
        <v>1171</v>
      </c>
      <c r="C57" s="32"/>
      <c r="D57" s="32"/>
      <c r="E57" s="663">
        <v>0</v>
      </c>
      <c r="F57" s="665"/>
      <c r="G57" s="745">
        <v>0</v>
      </c>
      <c r="H57" s="746"/>
      <c r="I57" s="747"/>
      <c r="J57" s="745">
        <v>0</v>
      </c>
      <c r="K57" s="746"/>
      <c r="L57" s="747"/>
      <c r="M57" s="745">
        <v>0</v>
      </c>
      <c r="N57" s="746"/>
      <c r="O57" s="746"/>
      <c r="P57" s="746"/>
      <c r="Q57" s="747"/>
      <c r="R57" s="2" t="s">
        <v>33</v>
      </c>
      <c r="S57" s="2"/>
    </row>
    <row r="58" spans="1:23" x14ac:dyDescent="0.3">
      <c r="A58" s="648"/>
      <c r="B58" s="33" t="s">
        <v>1172</v>
      </c>
      <c r="C58" s="34"/>
      <c r="D58" s="34"/>
      <c r="E58" s="675">
        <f>E56-E57</f>
        <v>0</v>
      </c>
      <c r="F58" s="677"/>
      <c r="G58" s="740">
        <f>G56-G57</f>
        <v>0</v>
      </c>
      <c r="H58" s="741"/>
      <c r="I58" s="742"/>
      <c r="J58" s="740">
        <f>J56-J57</f>
        <v>0</v>
      </c>
      <c r="K58" s="741"/>
      <c r="L58" s="742"/>
      <c r="M58" s="740">
        <f>M56-M57</f>
        <v>0</v>
      </c>
      <c r="N58" s="741"/>
      <c r="O58" s="741"/>
      <c r="P58" s="741"/>
      <c r="Q58" s="742"/>
      <c r="R58" s="2" t="s">
        <v>1156</v>
      </c>
      <c r="S58" s="2"/>
    </row>
    <row r="59" spans="1:23" x14ac:dyDescent="0.3">
      <c r="A59" s="648"/>
      <c r="B59" s="31" t="s">
        <v>1780</v>
      </c>
      <c r="C59" s="32"/>
      <c r="D59" s="32"/>
      <c r="E59" s="748">
        <f>'Bijlage investeringsoverzicht'!A240</f>
        <v>5</v>
      </c>
      <c r="F59" s="716"/>
      <c r="G59" s="749">
        <f>'Bijlage investeringsoverzicht'!A243</f>
        <v>20</v>
      </c>
      <c r="H59" s="750"/>
      <c r="I59" s="736"/>
      <c r="J59" s="714">
        <f>'Bijlage investeringsoverzicht'!B216</f>
        <v>10</v>
      </c>
      <c r="K59" s="715"/>
      <c r="L59" s="716"/>
      <c r="M59" s="714">
        <f>'Bijlage investeringsoverzicht'!A239</f>
        <v>3</v>
      </c>
      <c r="N59" s="715"/>
      <c r="O59" s="715"/>
      <c r="P59" s="715"/>
      <c r="Q59" s="716"/>
      <c r="R59" s="2" t="s">
        <v>1697</v>
      </c>
      <c r="S59" s="2"/>
      <c r="W59" s="2"/>
    </row>
    <row r="60" spans="1:23" x14ac:dyDescent="0.3">
      <c r="A60" s="648"/>
      <c r="B60" s="31" t="str">
        <f>B29</f>
        <v>aantal plaatsen onder forfait en waarop investeringskost van toepassing</v>
      </c>
      <c r="C60" s="32"/>
      <c r="D60" s="32"/>
      <c r="E60" s="684">
        <f>erkende_plaatsen1</f>
        <v>0</v>
      </c>
      <c r="F60" s="686"/>
      <c r="G60" s="754">
        <f>E60</f>
        <v>0</v>
      </c>
      <c r="H60" s="755"/>
      <c r="I60" s="756"/>
      <c r="J60" s="684">
        <f>G60</f>
        <v>0</v>
      </c>
      <c r="K60" s="685"/>
      <c r="L60" s="686"/>
      <c r="M60" s="684">
        <f>J60</f>
        <v>0</v>
      </c>
      <c r="N60" s="685"/>
      <c r="O60" s="685"/>
      <c r="P60" s="685"/>
      <c r="Q60" s="686"/>
      <c r="R60" s="9" t="str">
        <f>K29</f>
        <v>dit stemt overeen met de capaciteit v/h forfait zoals bepaald in het tabblad "Generieke input", rubriek 3.1</v>
      </c>
      <c r="S60" s="2"/>
    </row>
    <row r="61" spans="1:23" x14ac:dyDescent="0.3">
      <c r="A61" s="648"/>
      <c r="B61" s="31" t="s">
        <v>1174</v>
      </c>
      <c r="C61" s="32"/>
      <c r="D61" s="32"/>
      <c r="E61" s="754">
        <v>365</v>
      </c>
      <c r="F61" s="755"/>
      <c r="G61" s="754">
        <v>365</v>
      </c>
      <c r="H61" s="755"/>
      <c r="I61" s="756"/>
      <c r="J61" s="754">
        <v>365</v>
      </c>
      <c r="K61" s="755"/>
      <c r="L61" s="756"/>
      <c r="M61" s="754">
        <v>365</v>
      </c>
      <c r="N61" s="755"/>
      <c r="O61" s="755"/>
      <c r="P61" s="755"/>
      <c r="Q61" s="756"/>
      <c r="R61" s="9" t="str">
        <f>K31</f>
        <v>ligt vast</v>
      </c>
      <c r="S61" s="2"/>
    </row>
    <row r="62" spans="1:23" x14ac:dyDescent="0.3">
      <c r="A62" s="648"/>
      <c r="B62" s="31" t="s">
        <v>1152</v>
      </c>
      <c r="C62" s="32"/>
      <c r="D62" s="32"/>
      <c r="E62" s="704">
        <f>bezettingsgraad_werken</f>
        <v>0</v>
      </c>
      <c r="F62" s="706"/>
      <c r="G62" s="751">
        <f>E62</f>
        <v>0</v>
      </c>
      <c r="H62" s="752"/>
      <c r="I62" s="753"/>
      <c r="J62" s="704">
        <f>G62</f>
        <v>0</v>
      </c>
      <c r="K62" s="705"/>
      <c r="L62" s="706"/>
      <c r="M62" s="704">
        <f>J62</f>
        <v>0</v>
      </c>
      <c r="N62" s="705"/>
      <c r="O62" s="705"/>
      <c r="P62" s="705"/>
      <c r="Q62" s="706"/>
      <c r="R62" s="9" t="str">
        <f>K32</f>
        <v>is functie van de zorgvorm zoals bepaald in het tabblad "Generieke input", rubriek 3.2</v>
      </c>
      <c r="S62" s="2"/>
    </row>
    <row r="63" spans="1:23" x14ac:dyDescent="0.3">
      <c r="A63" s="648"/>
      <c r="B63" s="78" t="s">
        <v>1175</v>
      </c>
      <c r="C63" s="34"/>
      <c r="D63" s="34"/>
      <c r="E63" s="740">
        <f>IFERROR(ROUND(E58/E59/E61/E60/E62,2),0)</f>
        <v>0</v>
      </c>
      <c r="F63" s="741"/>
      <c r="G63" s="740">
        <f>IFERROR(ROUND(G58/G59/G61/G60/G62,2),0)</f>
        <v>0</v>
      </c>
      <c r="H63" s="741"/>
      <c r="I63" s="742"/>
      <c r="J63" s="740">
        <f>IFERROR(ROUND(J58/J59/J61/J60/J62,2),0)</f>
        <v>0</v>
      </c>
      <c r="K63" s="741"/>
      <c r="L63" s="742"/>
      <c r="M63" s="740">
        <f>IFERROR(ROUND(M58/M59/M61/M60/M62,2),0)</f>
        <v>0</v>
      </c>
      <c r="N63" s="741"/>
      <c r="O63" s="741"/>
      <c r="P63" s="741"/>
      <c r="Q63" s="742"/>
      <c r="R63" s="2" t="s">
        <v>1156</v>
      </c>
      <c r="S63" s="2"/>
    </row>
    <row r="64" spans="1:23" x14ac:dyDescent="0.3">
      <c r="A64" s="648"/>
      <c r="B64" s="770"/>
      <c r="C64" s="771"/>
      <c r="D64" s="771"/>
      <c r="E64" s="771"/>
      <c r="F64" s="771"/>
      <c r="G64" s="771"/>
      <c r="H64" s="771"/>
      <c r="I64" s="771"/>
      <c r="J64" s="771"/>
      <c r="K64" s="771"/>
      <c r="L64" s="771"/>
      <c r="M64" s="771"/>
      <c r="N64" s="771"/>
      <c r="O64" s="771"/>
      <c r="P64" s="771"/>
      <c r="Q64" s="771"/>
      <c r="S64" s="2"/>
    </row>
    <row r="65" spans="1:19" x14ac:dyDescent="0.3">
      <c r="A65" s="648"/>
      <c r="B65" s="638" t="s">
        <v>1176</v>
      </c>
      <c r="C65" s="639"/>
      <c r="D65" s="639"/>
      <c r="E65" s="639"/>
      <c r="F65" s="772"/>
      <c r="G65" s="723">
        <f>E63+G63+J63+M63</f>
        <v>0</v>
      </c>
      <c r="H65" s="724"/>
      <c r="I65" s="725"/>
      <c r="J65" s="9" t="s">
        <v>1156</v>
      </c>
      <c r="S65" s="2"/>
    </row>
    <row r="66" spans="1:19" ht="21" customHeight="1" x14ac:dyDescent="0.3">
      <c r="A66" s="648"/>
      <c r="B66" s="773"/>
      <c r="C66" s="774"/>
      <c r="D66" s="774"/>
      <c r="E66" s="774"/>
      <c r="F66" s="775"/>
      <c r="G66" s="776"/>
      <c r="H66" s="777"/>
      <c r="I66" s="777"/>
      <c r="J66" s="777"/>
      <c r="K66" s="777"/>
      <c r="L66" s="777"/>
      <c r="M66" s="777"/>
      <c r="N66" s="777"/>
      <c r="O66" s="777"/>
      <c r="P66" s="777"/>
      <c r="Q66" s="778"/>
      <c r="S66" s="2"/>
    </row>
    <row r="67" spans="1:19" x14ac:dyDescent="0.3">
      <c r="A67" s="648"/>
      <c r="B67" s="779"/>
      <c r="C67" s="780"/>
      <c r="D67" s="780"/>
      <c r="E67" s="780"/>
      <c r="F67" s="780"/>
      <c r="G67" s="780"/>
      <c r="H67" s="780"/>
      <c r="I67" s="780"/>
      <c r="J67" s="780"/>
      <c r="K67" s="780"/>
      <c r="L67" s="780"/>
      <c r="M67" s="780"/>
      <c r="N67" s="780"/>
      <c r="O67" s="780"/>
      <c r="P67" s="780"/>
      <c r="Q67" s="781"/>
      <c r="S67" s="2"/>
    </row>
    <row r="68" spans="1:19" x14ac:dyDescent="0.3">
      <c r="A68" s="648"/>
      <c r="B68" s="23"/>
      <c r="C68" s="3"/>
      <c r="D68" s="3"/>
      <c r="E68" s="3"/>
      <c r="S68" s="2"/>
    </row>
    <row r="69" spans="1:19" x14ac:dyDescent="0.3">
      <c r="A69" s="648"/>
      <c r="B69" s="757" t="s">
        <v>1161</v>
      </c>
      <c r="C69" s="758"/>
      <c r="D69" s="758"/>
      <c r="E69" s="759"/>
      <c r="F69" s="760" t="s">
        <v>1177</v>
      </c>
      <c r="G69" s="761"/>
      <c r="H69" s="761"/>
      <c r="I69" s="761"/>
      <c r="J69" s="761"/>
      <c r="K69" s="761"/>
      <c r="L69" s="761"/>
      <c r="M69" s="761"/>
      <c r="N69" s="761"/>
      <c r="O69" s="761"/>
      <c r="P69" s="761"/>
      <c r="Q69" s="762"/>
      <c r="S69" s="2"/>
    </row>
    <row r="70" spans="1:19" x14ac:dyDescent="0.3">
      <c r="A70" s="648"/>
      <c r="B70" s="24"/>
      <c r="C70" s="24"/>
      <c r="D70" s="24"/>
      <c r="E70" s="24"/>
      <c r="F70" s="24"/>
      <c r="G70" s="24"/>
      <c r="H70" s="24"/>
      <c r="I70" s="24"/>
      <c r="J70" s="24"/>
      <c r="K70" s="24"/>
      <c r="L70" s="24"/>
      <c r="M70" s="24"/>
      <c r="N70" s="24"/>
      <c r="O70" s="24"/>
      <c r="P70" s="24"/>
      <c r="Q70" s="24"/>
    </row>
    <row r="71" spans="1:19" x14ac:dyDescent="0.3">
      <c r="B71" s="35"/>
      <c r="C71" s="35"/>
      <c r="D71" s="35"/>
      <c r="E71" s="35"/>
      <c r="F71" s="7"/>
      <c r="G71" s="7"/>
      <c r="H71" s="7"/>
      <c r="I71" s="7"/>
      <c r="J71" s="7"/>
      <c r="K71" s="7"/>
      <c r="L71" s="7"/>
      <c r="M71" s="7"/>
      <c r="N71" s="7"/>
      <c r="O71" s="7"/>
      <c r="P71" s="7"/>
      <c r="Q71" s="7"/>
    </row>
    <row r="72" spans="1:19" x14ac:dyDescent="0.3">
      <c r="B72" s="649" t="s">
        <v>1178</v>
      </c>
      <c r="C72" s="650"/>
      <c r="D72" s="650"/>
      <c r="E72" s="650"/>
      <c r="F72" s="650"/>
      <c r="G72" s="650"/>
      <c r="H72" s="650"/>
      <c r="I72" s="650"/>
      <c r="J72" s="650"/>
      <c r="K72" s="650"/>
      <c r="L72" s="650"/>
      <c r="M72" s="650"/>
      <c r="N72" s="650"/>
      <c r="O72" s="650"/>
      <c r="P72" s="650"/>
      <c r="Q72" s="650"/>
    </row>
    <row r="73" spans="1:19" x14ac:dyDescent="0.3">
      <c r="B73" s="2"/>
      <c r="C73" s="2"/>
      <c r="D73" s="2"/>
      <c r="E73" s="2"/>
      <c r="F73" s="2"/>
      <c r="G73" s="2"/>
      <c r="H73" s="2"/>
      <c r="I73" s="2"/>
      <c r="J73" s="2"/>
      <c r="K73" s="2"/>
      <c r="L73" s="2"/>
      <c r="M73" s="2"/>
      <c r="N73" s="2"/>
      <c r="O73" s="2"/>
      <c r="P73" s="2"/>
      <c r="Q73" s="2"/>
    </row>
    <row r="74" spans="1:19" ht="15" customHeight="1" x14ac:dyDescent="0.3">
      <c r="B74" s="763" t="s">
        <v>1698</v>
      </c>
      <c r="C74" s="764"/>
      <c r="D74" s="764"/>
      <c r="E74" s="764"/>
      <c r="F74" s="764"/>
      <c r="G74" s="764"/>
      <c r="H74" s="764"/>
      <c r="I74" s="764"/>
      <c r="J74" s="764"/>
      <c r="K74" s="764"/>
      <c r="L74" s="764"/>
      <c r="M74" s="765"/>
      <c r="N74" s="43"/>
      <c r="O74" s="43"/>
      <c r="P74" s="43"/>
    </row>
    <row r="75" spans="1:19" ht="313.95" customHeight="1" x14ac:dyDescent="0.3">
      <c r="B75" s="766"/>
      <c r="C75" s="767"/>
      <c r="D75" s="767"/>
      <c r="E75" s="767"/>
      <c r="F75" s="767"/>
      <c r="G75" s="767"/>
      <c r="H75" s="767"/>
      <c r="I75" s="767"/>
      <c r="J75" s="767"/>
      <c r="K75" s="767"/>
      <c r="L75" s="767"/>
      <c r="M75" s="768"/>
      <c r="N75" s="43"/>
      <c r="O75" s="43"/>
      <c r="P75" s="43"/>
    </row>
    <row r="76" spans="1:19" x14ac:dyDescent="0.3">
      <c r="B76" s="2"/>
    </row>
    <row r="77" spans="1:19" ht="43.2" x14ac:dyDescent="0.3">
      <c r="E77" s="69" t="s">
        <v>1179</v>
      </c>
      <c r="F77" s="1" t="s">
        <v>1180</v>
      </c>
      <c r="G77" s="100" t="s">
        <v>1181</v>
      </c>
      <c r="H77" s="5" t="s">
        <v>1182</v>
      </c>
      <c r="I77" s="100" t="s">
        <v>1183</v>
      </c>
      <c r="J77" s="101" t="s">
        <v>1184</v>
      </c>
      <c r="K77" s="5" t="s">
        <v>1185</v>
      </c>
      <c r="L77" s="102" t="s">
        <v>1186</v>
      </c>
      <c r="M77" s="69" t="s">
        <v>1187</v>
      </c>
      <c r="N77" s="69"/>
    </row>
    <row r="78" spans="1:19" x14ac:dyDescent="0.3">
      <c r="B78" s="769" t="s">
        <v>1188</v>
      </c>
      <c r="C78" s="769"/>
      <c r="D78" s="769"/>
      <c r="E78" s="256">
        <v>0</v>
      </c>
      <c r="F78" s="259">
        <v>0</v>
      </c>
      <c r="G78" s="259">
        <v>0</v>
      </c>
      <c r="H78" s="259">
        <v>0</v>
      </c>
      <c r="I78" s="259">
        <v>0</v>
      </c>
      <c r="J78" s="259">
        <v>0</v>
      </c>
      <c r="K78" s="259">
        <v>0</v>
      </c>
      <c r="L78" s="259">
        <v>0</v>
      </c>
      <c r="M78" s="103">
        <f>F78-SUM(G78:L78)</f>
        <v>0</v>
      </c>
      <c r="N78" s="154" t="s">
        <v>1189</v>
      </c>
    </row>
    <row r="79" spans="1:19" x14ac:dyDescent="0.3">
      <c r="B79" s="769" t="s">
        <v>1190</v>
      </c>
      <c r="C79" s="769"/>
      <c r="D79" s="769"/>
      <c r="E79" s="256">
        <v>0</v>
      </c>
      <c r="F79" s="259">
        <v>0</v>
      </c>
      <c r="G79" s="259">
        <v>0</v>
      </c>
      <c r="H79" s="259">
        <v>0</v>
      </c>
      <c r="I79" s="259">
        <v>0</v>
      </c>
      <c r="J79" s="259">
        <v>0</v>
      </c>
      <c r="K79" s="259">
        <v>0</v>
      </c>
      <c r="L79" s="259">
        <v>0</v>
      </c>
      <c r="M79" s="103">
        <f>F79-SUM(G79:L79)</f>
        <v>0</v>
      </c>
      <c r="N79" s="154" t="s">
        <v>1189</v>
      </c>
    </row>
    <row r="80" spans="1:19" x14ac:dyDescent="0.3">
      <c r="B80" s="1" t="s">
        <v>1191</v>
      </c>
      <c r="C80" s="1"/>
      <c r="D80" s="1"/>
      <c r="E80" s="56"/>
      <c r="F80" s="56"/>
      <c r="G80" s="56"/>
      <c r="H80" s="56"/>
      <c r="I80" s="56"/>
      <c r="J80" s="56"/>
      <c r="K80" s="56"/>
      <c r="L80" s="56"/>
      <c r="M80" s="57">
        <f>SUM(M78:N79)</f>
        <v>0</v>
      </c>
      <c r="N80" s="154" t="s">
        <v>1189</v>
      </c>
      <c r="P80" s="69"/>
    </row>
    <row r="81" spans="2:18" x14ac:dyDescent="0.3">
      <c r="B81" s="1" t="s">
        <v>1192</v>
      </c>
      <c r="C81" s="1"/>
      <c r="D81" s="1"/>
      <c r="E81" s="56"/>
      <c r="F81" s="56"/>
      <c r="H81" s="56"/>
      <c r="I81" s="83" t="s">
        <v>1193</v>
      </c>
      <c r="J81" s="56"/>
      <c r="K81" s="57"/>
    </row>
    <row r="82" spans="2:18" x14ac:dyDescent="0.3">
      <c r="B82" t="s">
        <v>1194</v>
      </c>
      <c r="E82" s="18">
        <f>M80</f>
        <v>0</v>
      </c>
      <c r="F82" s="58" t="s">
        <v>1156</v>
      </c>
      <c r="G82" s="56"/>
      <c r="H82" s="56"/>
      <c r="I82" s="56"/>
      <c r="J82" s="56"/>
      <c r="K82" s="57"/>
      <c r="L82" s="57"/>
    </row>
    <row r="83" spans="2:18" x14ac:dyDescent="0.3">
      <c r="B83" t="s">
        <v>1195</v>
      </c>
      <c r="E83" s="16">
        <f>IFERROR(erkende_plaatsen1*365*bezettingsgraad_werken,0)</f>
        <v>0</v>
      </c>
      <c r="F83" s="11" t="s">
        <v>1156</v>
      </c>
      <c r="G83" s="1"/>
      <c r="H83" s="1"/>
      <c r="I83" s="1"/>
      <c r="J83" s="1"/>
      <c r="K83" s="36"/>
      <c r="L83" s="69"/>
    </row>
    <row r="84" spans="2:18" x14ac:dyDescent="0.3">
      <c r="E84" s="16"/>
      <c r="F84" s="1"/>
      <c r="G84" s="1"/>
      <c r="H84" s="1"/>
      <c r="I84" s="1"/>
      <c r="J84" s="1"/>
      <c r="K84" s="36"/>
      <c r="L84" s="69"/>
    </row>
    <row r="85" spans="2:18" x14ac:dyDescent="0.3">
      <c r="B85" s="638" t="s">
        <v>1196</v>
      </c>
      <c r="C85" s="639"/>
      <c r="D85" s="639"/>
      <c r="E85" s="639"/>
      <c r="F85" s="772"/>
      <c r="G85" s="723">
        <f>IFERROR(E82/E83,0)</f>
        <v>0</v>
      </c>
      <c r="H85" s="724"/>
      <c r="I85" s="725"/>
      <c r="J85" s="11" t="s">
        <v>1156</v>
      </c>
    </row>
    <row r="86" spans="2:18" x14ac:dyDescent="0.3">
      <c r="B86" s="638" t="s">
        <v>1197</v>
      </c>
      <c r="C86" s="639"/>
      <c r="D86" s="639"/>
      <c r="E86" s="639"/>
      <c r="F86" s="772"/>
      <c r="G86" s="788" t="s">
        <v>1198</v>
      </c>
      <c r="H86" s="789"/>
      <c r="I86" s="789"/>
      <c r="J86" s="789"/>
      <c r="K86" s="789"/>
      <c r="L86" s="789"/>
      <c r="M86" s="789"/>
      <c r="N86" s="789"/>
      <c r="O86" s="789"/>
      <c r="P86" s="789"/>
      <c r="Q86" s="790"/>
    </row>
    <row r="88" spans="2:18" x14ac:dyDescent="0.3">
      <c r="B88" s="649" t="s">
        <v>1199</v>
      </c>
      <c r="C88" s="650"/>
      <c r="D88" s="650"/>
      <c r="E88" s="650"/>
      <c r="F88" s="650"/>
      <c r="G88" s="650"/>
      <c r="H88" s="650"/>
      <c r="I88" s="650"/>
      <c r="J88" s="650"/>
      <c r="K88" s="650"/>
      <c r="L88" s="650"/>
      <c r="M88" s="650"/>
      <c r="N88" s="650"/>
      <c r="O88" s="650"/>
      <c r="P88" s="650"/>
      <c r="Q88" s="650"/>
    </row>
    <row r="90" spans="2:18" ht="85.65" customHeight="1" x14ac:dyDescent="0.3">
      <c r="B90" s="782" t="s">
        <v>1811</v>
      </c>
      <c r="C90" s="783"/>
      <c r="D90" s="783"/>
      <c r="E90" s="783"/>
      <c r="F90" s="783"/>
      <c r="G90" s="783"/>
      <c r="H90" s="783"/>
      <c r="I90" s="783"/>
      <c r="J90" s="783"/>
      <c r="K90" s="783"/>
      <c r="L90" s="783"/>
      <c r="M90" s="783"/>
      <c r="N90" s="783"/>
      <c r="O90" s="783"/>
      <c r="P90" s="783"/>
      <c r="Q90" s="784"/>
    </row>
    <row r="91" spans="2:18" ht="15" thickBot="1" x14ac:dyDescent="0.35">
      <c r="B91" s="76"/>
      <c r="C91" s="76"/>
      <c r="D91" s="76"/>
      <c r="E91" s="76"/>
      <c r="F91" s="76"/>
      <c r="G91" s="76"/>
      <c r="H91" s="76"/>
      <c r="I91" s="76"/>
      <c r="J91" s="76"/>
      <c r="K91" s="76"/>
      <c r="L91" s="76"/>
      <c r="M91" s="76"/>
      <c r="N91" s="76"/>
      <c r="O91" s="76"/>
      <c r="P91" s="76"/>
      <c r="Q91" s="76"/>
    </row>
    <row r="92" spans="2:18" s="10" customFormat="1" ht="42.75" customHeight="1" thickBot="1" x14ac:dyDescent="0.35">
      <c r="B92" s="785" t="s">
        <v>1200</v>
      </c>
      <c r="C92" s="786"/>
      <c r="D92" s="786"/>
      <c r="E92" s="72" t="s">
        <v>1201</v>
      </c>
      <c r="F92" s="72" t="s">
        <v>1202</v>
      </c>
      <c r="G92" s="75"/>
      <c r="H92" s="75"/>
      <c r="I92" s="75"/>
      <c r="J92" s="75"/>
      <c r="K92" s="75"/>
      <c r="L92" s="75"/>
      <c r="M92" s="75"/>
      <c r="N92" s="75"/>
      <c r="O92" s="75"/>
      <c r="P92" s="75"/>
      <c r="Q92" s="75"/>
    </row>
    <row r="93" spans="2:18" s="10" customFormat="1" ht="14.25" customHeight="1" x14ac:dyDescent="0.3">
      <c r="B93" s="75"/>
      <c r="C93" s="52" t="s">
        <v>1191</v>
      </c>
      <c r="D93" s="68"/>
      <c r="E93" s="287">
        <f>SUM(E94:E101)</f>
        <v>0</v>
      </c>
      <c r="F93" s="428">
        <f t="shared" ref="F93:F101" si="1">IFERROR(E93/$E$124,0)</f>
        <v>0</v>
      </c>
      <c r="G93" s="787" t="s">
        <v>1203</v>
      </c>
      <c r="H93" s="786"/>
      <c r="I93" s="786"/>
      <c r="J93" s="786"/>
      <c r="K93" s="786"/>
      <c r="L93" s="786"/>
      <c r="M93" s="786"/>
      <c r="N93" s="68"/>
      <c r="O93" s="68"/>
      <c r="P93" s="68"/>
      <c r="Q93" s="75"/>
      <c r="R93" s="75"/>
    </row>
    <row r="94" spans="2:18" s="10" customFormat="1" ht="15" customHeight="1" x14ac:dyDescent="0.3">
      <c r="B94" s="75"/>
      <c r="C94" s="75"/>
      <c r="D94" s="51" t="s">
        <v>1204</v>
      </c>
      <c r="E94" s="260">
        <v>0</v>
      </c>
      <c r="F94" s="429">
        <f t="shared" si="1"/>
        <v>0</v>
      </c>
      <c r="G94" s="54" t="s">
        <v>1205</v>
      </c>
      <c r="H94" s="75"/>
      <c r="I94" s="75"/>
      <c r="J94" s="75"/>
      <c r="K94" s="75"/>
      <c r="L94" s="75"/>
      <c r="M94" s="75"/>
      <c r="N94" s="75"/>
      <c r="O94" s="75"/>
      <c r="P94" s="75"/>
      <c r="Q94" s="75"/>
      <c r="R94" s="75"/>
    </row>
    <row r="95" spans="2:18" s="10" customFormat="1" ht="15" customHeight="1" x14ac:dyDescent="0.3">
      <c r="B95" s="75"/>
      <c r="C95" s="75"/>
      <c r="D95" s="51" t="s">
        <v>1206</v>
      </c>
      <c r="E95" s="260">
        <v>0</v>
      </c>
      <c r="F95" s="429">
        <f t="shared" si="1"/>
        <v>0</v>
      </c>
      <c r="G95" s="54" t="s">
        <v>1205</v>
      </c>
      <c r="H95" s="75"/>
      <c r="I95" s="75"/>
      <c r="J95" s="75"/>
      <c r="K95" s="75"/>
      <c r="L95" s="75"/>
      <c r="M95" s="75"/>
      <c r="N95" s="75"/>
      <c r="O95" s="75"/>
      <c r="P95" s="75"/>
      <c r="Q95" s="75"/>
      <c r="R95" s="75"/>
    </row>
    <row r="96" spans="2:18" s="10" customFormat="1" ht="15" customHeight="1" x14ac:dyDescent="0.3">
      <c r="B96" s="75"/>
      <c r="C96" s="75"/>
      <c r="D96" s="51" t="s">
        <v>1207</v>
      </c>
      <c r="E96" s="260">
        <v>0</v>
      </c>
      <c r="F96" s="429">
        <f t="shared" si="1"/>
        <v>0</v>
      </c>
      <c r="G96" s="54" t="s">
        <v>1205</v>
      </c>
      <c r="H96" s="605" t="s">
        <v>1208</v>
      </c>
      <c r="I96" s="605"/>
      <c r="J96" s="605"/>
      <c r="K96" s="605"/>
      <c r="L96" s="605"/>
      <c r="M96" s="605"/>
      <c r="N96" s="605"/>
      <c r="O96" s="605"/>
      <c r="P96" s="605"/>
      <c r="Q96" s="786"/>
      <c r="R96" s="75"/>
    </row>
    <row r="97" spans="2:18" s="10" customFormat="1" ht="15" customHeight="1" x14ac:dyDescent="0.3">
      <c r="B97" s="75"/>
      <c r="C97" s="75"/>
      <c r="D97" s="51" t="s">
        <v>1209</v>
      </c>
      <c r="E97" s="260">
        <v>0</v>
      </c>
      <c r="F97" s="429">
        <f t="shared" si="1"/>
        <v>0</v>
      </c>
      <c r="G97" s="54" t="s">
        <v>1205</v>
      </c>
      <c r="H97" s="51"/>
      <c r="I97" s="51"/>
      <c r="J97" s="51"/>
      <c r="K97" s="51"/>
      <c r="L97" s="51"/>
      <c r="M97" s="51"/>
      <c r="N97" s="51"/>
      <c r="O97" s="51"/>
      <c r="P97" s="51"/>
      <c r="Q97" s="51"/>
      <c r="R97" s="75"/>
    </row>
    <row r="98" spans="2:18" s="10" customFormat="1" ht="15" customHeight="1" x14ac:dyDescent="0.3">
      <c r="B98" s="75"/>
      <c r="C98" s="75"/>
      <c r="D98" s="51" t="s">
        <v>1210</v>
      </c>
      <c r="E98" s="260">
        <v>0</v>
      </c>
      <c r="F98" s="429">
        <f t="shared" si="1"/>
        <v>0</v>
      </c>
      <c r="G98" s="54" t="s">
        <v>1205</v>
      </c>
      <c r="H98" s="605" t="s">
        <v>1211</v>
      </c>
      <c r="I98" s="786"/>
      <c r="J98" s="786"/>
      <c r="K98" s="786"/>
      <c r="L98" s="786"/>
      <c r="M98" s="786"/>
      <c r="N98" s="68"/>
      <c r="O98" s="68"/>
      <c r="P98" s="68"/>
      <c r="Q98" s="51"/>
      <c r="R98" s="75"/>
    </row>
    <row r="99" spans="2:18" s="10" customFormat="1" ht="15" customHeight="1" x14ac:dyDescent="0.3">
      <c r="B99" s="75"/>
      <c r="C99" s="75"/>
      <c r="D99" s="51" t="s">
        <v>1212</v>
      </c>
      <c r="E99" s="260">
        <v>0</v>
      </c>
      <c r="F99" s="429">
        <f t="shared" si="1"/>
        <v>0</v>
      </c>
      <c r="G99" s="54" t="s">
        <v>1205</v>
      </c>
      <c r="H99" s="51"/>
      <c r="I99" s="51"/>
      <c r="J99" s="51"/>
      <c r="K99" s="51"/>
      <c r="L99" s="51"/>
      <c r="M99" s="51"/>
      <c r="N99" s="51"/>
      <c r="O99" s="51"/>
      <c r="P99" s="51"/>
      <c r="Q99" s="51"/>
      <c r="R99" s="75"/>
    </row>
    <row r="100" spans="2:18" s="10" customFormat="1" ht="15" customHeight="1" x14ac:dyDescent="0.3">
      <c r="B100" s="75"/>
      <c r="C100" s="75"/>
      <c r="D100" s="51" t="s">
        <v>1213</v>
      </c>
      <c r="E100" s="260">
        <v>0</v>
      </c>
      <c r="F100" s="429">
        <f t="shared" si="1"/>
        <v>0</v>
      </c>
      <c r="G100" s="54" t="s">
        <v>1205</v>
      </c>
      <c r="H100" s="51"/>
      <c r="I100" s="51"/>
      <c r="J100" s="51"/>
      <c r="K100" s="51"/>
      <c r="L100" s="51"/>
      <c r="M100" s="51"/>
      <c r="N100" s="51"/>
      <c r="O100" s="51"/>
      <c r="P100" s="51"/>
      <c r="Q100" s="51"/>
      <c r="R100" s="75"/>
    </row>
    <row r="101" spans="2:18" s="10" customFormat="1" ht="15" customHeight="1" x14ac:dyDescent="0.3">
      <c r="B101" s="75"/>
      <c r="C101" s="75"/>
      <c r="D101" s="96" t="s">
        <v>91</v>
      </c>
      <c r="E101" s="260">
        <v>0</v>
      </c>
      <c r="F101" s="429">
        <f t="shared" si="1"/>
        <v>0</v>
      </c>
      <c r="G101" s="54" t="s">
        <v>1205</v>
      </c>
      <c r="H101" s="75"/>
      <c r="I101" s="75"/>
      <c r="J101" s="75"/>
      <c r="K101" s="75"/>
      <c r="L101" s="75"/>
      <c r="M101" s="75"/>
      <c r="N101" s="75"/>
      <c r="O101" s="75"/>
      <c r="P101" s="75"/>
      <c r="Q101" s="75"/>
      <c r="R101" s="75"/>
    </row>
    <row r="102" spans="2:18" ht="15" customHeight="1" x14ac:dyDescent="0.3">
      <c r="E102" s="94"/>
      <c r="F102" s="18"/>
    </row>
    <row r="103" spans="2:18" ht="15" customHeight="1" x14ac:dyDescent="0.3">
      <c r="B103" s="1" t="s">
        <v>1214</v>
      </c>
      <c r="E103" s="95"/>
      <c r="F103" s="56"/>
    </row>
    <row r="104" spans="2:18" ht="15" customHeight="1" x14ac:dyDescent="0.3">
      <c r="C104" s="1" t="s">
        <v>1215</v>
      </c>
      <c r="E104" s="261">
        <f>SUM(E105:E112)</f>
        <v>0</v>
      </c>
      <c r="F104" s="430">
        <f>IFERROR(E104/E124,0)</f>
        <v>0</v>
      </c>
      <c r="G104" s="845" t="s">
        <v>1203</v>
      </c>
      <c r="H104" s="786"/>
      <c r="I104" s="786"/>
      <c r="J104" s="803"/>
      <c r="K104" s="803"/>
      <c r="L104" s="803"/>
      <c r="M104" s="81"/>
      <c r="N104" s="81"/>
      <c r="O104" s="81"/>
      <c r="P104" s="81"/>
      <c r="Q104" s="81"/>
    </row>
    <row r="105" spans="2:18" ht="15" customHeight="1" x14ac:dyDescent="0.3">
      <c r="D105" t="s">
        <v>1216</v>
      </c>
      <c r="E105" s="262">
        <v>0</v>
      </c>
      <c r="F105" s="18">
        <f t="shared" ref="F105:F118" si="2">IFERROR(E105/$E$124,0)</f>
        <v>0</v>
      </c>
      <c r="G105" s="54" t="s">
        <v>1205</v>
      </c>
    </row>
    <row r="106" spans="2:18" ht="15" customHeight="1" x14ac:dyDescent="0.3">
      <c r="D106" t="s">
        <v>1217</v>
      </c>
      <c r="E106" s="262">
        <v>0</v>
      </c>
      <c r="F106" s="18">
        <f t="shared" si="2"/>
        <v>0</v>
      </c>
      <c r="G106" s="54" t="s">
        <v>1205</v>
      </c>
      <c r="H106" s="2" t="s">
        <v>1218</v>
      </c>
    </row>
    <row r="107" spans="2:18" ht="15" customHeight="1" x14ac:dyDescent="0.3">
      <c r="D107" t="s">
        <v>1219</v>
      </c>
      <c r="E107" s="262">
        <v>0</v>
      </c>
      <c r="F107" s="18">
        <f t="shared" si="2"/>
        <v>0</v>
      </c>
      <c r="G107" s="54" t="s">
        <v>1205</v>
      </c>
      <c r="H107" s="2" t="s">
        <v>1220</v>
      </c>
    </row>
    <row r="108" spans="2:18" ht="15" customHeight="1" x14ac:dyDescent="0.3">
      <c r="B108" s="1"/>
      <c r="D108" t="s">
        <v>1221</v>
      </c>
      <c r="E108" s="262">
        <v>0</v>
      </c>
      <c r="F108" s="18">
        <f t="shared" si="2"/>
        <v>0</v>
      </c>
      <c r="G108" s="54" t="s">
        <v>1205</v>
      </c>
      <c r="H108" s="2" t="s">
        <v>1222</v>
      </c>
    </row>
    <row r="109" spans="2:18" ht="15" customHeight="1" x14ac:dyDescent="0.3">
      <c r="D109" t="s">
        <v>1223</v>
      </c>
      <c r="E109" s="262">
        <v>0</v>
      </c>
      <c r="F109" s="18">
        <f t="shared" si="2"/>
        <v>0</v>
      </c>
      <c r="G109" s="54" t="s">
        <v>1205</v>
      </c>
    </row>
    <row r="110" spans="2:18" ht="15" customHeight="1" x14ac:dyDescent="0.3">
      <c r="D110" t="s">
        <v>1224</v>
      </c>
      <c r="E110" s="262">
        <v>0</v>
      </c>
      <c r="F110" s="18">
        <f t="shared" si="2"/>
        <v>0</v>
      </c>
      <c r="G110" s="54" t="s">
        <v>1205</v>
      </c>
      <c r="H110" s="2" t="s">
        <v>1225</v>
      </c>
    </row>
    <row r="111" spans="2:18" ht="15" customHeight="1" x14ac:dyDescent="0.3">
      <c r="D111" s="37" t="s">
        <v>1226</v>
      </c>
      <c r="E111" s="262">
        <v>0</v>
      </c>
      <c r="F111" s="18">
        <f t="shared" si="2"/>
        <v>0</v>
      </c>
      <c r="G111" s="54" t="s">
        <v>1205</v>
      </c>
      <c r="H111" s="2" t="s">
        <v>1227</v>
      </c>
    </row>
    <row r="112" spans="2:18" ht="15" customHeight="1" x14ac:dyDescent="0.3">
      <c r="D112" s="37" t="s">
        <v>91</v>
      </c>
      <c r="E112" s="262">
        <v>0</v>
      </c>
      <c r="F112" s="18">
        <f t="shared" si="2"/>
        <v>0</v>
      </c>
      <c r="G112" s="54" t="s">
        <v>1205</v>
      </c>
    </row>
    <row r="113" spans="2:17" ht="15" customHeight="1" x14ac:dyDescent="0.3">
      <c r="C113" s="1" t="s">
        <v>1228</v>
      </c>
      <c r="D113" s="53"/>
      <c r="E113" s="263">
        <v>0</v>
      </c>
      <c r="F113" s="363">
        <f t="shared" si="2"/>
        <v>0</v>
      </c>
      <c r="G113" s="70" t="s">
        <v>1229</v>
      </c>
      <c r="H113" s="71"/>
      <c r="I113" s="71"/>
      <c r="J113" s="71"/>
      <c r="K113" s="71"/>
      <c r="L113" s="71"/>
      <c r="M113" s="71"/>
      <c r="N113" s="71"/>
      <c r="O113" s="71"/>
      <c r="P113" s="71"/>
      <c r="Q113" s="71"/>
    </row>
    <row r="114" spans="2:17" ht="15" customHeight="1" x14ac:dyDescent="0.3">
      <c r="C114" s="1" t="s">
        <v>1230</v>
      </c>
      <c r="D114" s="53"/>
      <c r="E114" s="263">
        <v>0</v>
      </c>
      <c r="F114" s="363">
        <f t="shared" si="2"/>
        <v>0</v>
      </c>
      <c r="G114" s="70" t="s">
        <v>1229</v>
      </c>
      <c r="H114" s="71"/>
      <c r="I114" s="71"/>
      <c r="J114" s="71"/>
      <c r="K114" s="71"/>
      <c r="L114" s="71"/>
      <c r="M114" s="71"/>
      <c r="N114" s="71"/>
      <c r="O114" s="71"/>
      <c r="P114" s="71"/>
      <c r="Q114" s="71"/>
    </row>
    <row r="115" spans="2:17" ht="15" customHeight="1" x14ac:dyDescent="0.3">
      <c r="C115" s="5" t="s">
        <v>1231</v>
      </c>
      <c r="D115" s="53"/>
      <c r="E115" s="263">
        <v>0</v>
      </c>
      <c r="F115" s="363">
        <f t="shared" si="2"/>
        <v>0</v>
      </c>
      <c r="G115" s="70" t="s">
        <v>1229</v>
      </c>
      <c r="H115" s="71"/>
      <c r="I115" s="71"/>
      <c r="J115" s="71"/>
      <c r="K115" s="71"/>
      <c r="L115" s="71"/>
      <c r="M115" s="71"/>
      <c r="N115" s="71"/>
      <c r="O115" s="71"/>
      <c r="P115" s="71"/>
      <c r="Q115" s="71"/>
    </row>
    <row r="116" spans="2:17" ht="15" customHeight="1" x14ac:dyDescent="0.3">
      <c r="C116" s="1" t="s">
        <v>1232</v>
      </c>
      <c r="D116" s="53"/>
      <c r="E116" s="263">
        <v>0</v>
      </c>
      <c r="F116" s="363">
        <f t="shared" si="2"/>
        <v>0</v>
      </c>
      <c r="G116" s="70" t="s">
        <v>1229</v>
      </c>
      <c r="H116" s="71"/>
      <c r="I116" s="71"/>
      <c r="J116" s="71"/>
      <c r="K116" s="71"/>
      <c r="L116" s="71"/>
      <c r="M116" s="71"/>
      <c r="N116" s="71"/>
      <c r="O116" s="71"/>
      <c r="P116" s="71"/>
      <c r="Q116" s="71"/>
    </row>
    <row r="117" spans="2:17" ht="15" customHeight="1" x14ac:dyDescent="0.3">
      <c r="C117" s="1" t="s">
        <v>1233</v>
      </c>
      <c r="D117" s="53"/>
      <c r="E117" s="263">
        <v>0</v>
      </c>
      <c r="F117" s="363">
        <f t="shared" si="2"/>
        <v>0</v>
      </c>
      <c r="G117" s="70" t="s">
        <v>1229</v>
      </c>
      <c r="H117" s="71"/>
      <c r="I117" s="71"/>
      <c r="J117" s="71"/>
      <c r="K117" s="71"/>
      <c r="L117" s="71"/>
      <c r="M117" s="71"/>
      <c r="N117" s="71"/>
      <c r="O117" s="71"/>
      <c r="P117" s="71"/>
      <c r="Q117" s="71"/>
    </row>
    <row r="118" spans="2:17" ht="15" customHeight="1" x14ac:dyDescent="0.3">
      <c r="C118" s="1" t="s">
        <v>1234</v>
      </c>
      <c r="D118" s="53"/>
      <c r="E118" s="263">
        <v>0</v>
      </c>
      <c r="F118" s="363">
        <f t="shared" si="2"/>
        <v>0</v>
      </c>
      <c r="G118" s="70" t="s">
        <v>1229</v>
      </c>
      <c r="H118" s="71"/>
      <c r="I118" s="71"/>
      <c r="J118" s="71"/>
      <c r="K118" s="71"/>
      <c r="L118" s="71"/>
      <c r="M118" s="71"/>
      <c r="N118" s="71"/>
      <c r="O118" s="71"/>
      <c r="P118" s="71"/>
      <c r="Q118" s="71"/>
    </row>
    <row r="119" spans="2:17" ht="15" customHeight="1" x14ac:dyDescent="0.3">
      <c r="C119" s="1"/>
      <c r="D119" s="53"/>
      <c r="E119" s="95"/>
      <c r="F119" s="56"/>
      <c r="G119" s="71"/>
      <c r="H119" s="71"/>
      <c r="I119" s="71"/>
      <c r="J119" s="71"/>
      <c r="K119" s="71"/>
      <c r="L119" s="71"/>
      <c r="M119" s="71"/>
      <c r="N119" s="71"/>
      <c r="O119" s="71"/>
      <c r="P119" s="71"/>
      <c r="Q119" s="71"/>
    </row>
    <row r="120" spans="2:17" x14ac:dyDescent="0.3">
      <c r="C120" s="1"/>
      <c r="D120" s="53"/>
      <c r="E120" s="56"/>
      <c r="F120" s="56"/>
      <c r="G120" s="2"/>
    </row>
    <row r="121" spans="2:17" x14ac:dyDescent="0.3">
      <c r="B121" s="1" t="s">
        <v>1235</v>
      </c>
      <c r="C121" s="1"/>
      <c r="D121" s="53"/>
      <c r="E121" s="263">
        <v>0</v>
      </c>
      <c r="F121" s="363">
        <f>IFERROR(E121/E124,0)</f>
        <v>0</v>
      </c>
      <c r="G121" s="9" t="s">
        <v>1236</v>
      </c>
    </row>
    <row r="122" spans="2:17" ht="15.6" x14ac:dyDescent="0.3">
      <c r="E122" s="18"/>
      <c r="G122" s="89" t="s">
        <v>1237</v>
      </c>
      <c r="K122" s="85" t="s">
        <v>1238</v>
      </c>
    </row>
    <row r="123" spans="2:17" ht="28.5" customHeight="1" x14ac:dyDescent="0.3">
      <c r="B123" s="803" t="s">
        <v>1239</v>
      </c>
      <c r="C123" s="803"/>
      <c r="D123" s="803"/>
      <c r="E123" s="18">
        <f>E93+E104+SUM(E113:E118)-ABS(E121)</f>
        <v>0</v>
      </c>
      <c r="F123" s="11" t="s">
        <v>1156</v>
      </c>
    </row>
    <row r="124" spans="2:17" x14ac:dyDescent="0.3">
      <c r="B124" t="s">
        <v>1195</v>
      </c>
      <c r="E124" s="16">
        <f>E83</f>
        <v>0</v>
      </c>
      <c r="F124" s="11" t="s">
        <v>1156</v>
      </c>
    </row>
    <row r="125" spans="2:17" x14ac:dyDescent="0.3">
      <c r="E125" s="16"/>
    </row>
    <row r="126" spans="2:17" x14ac:dyDescent="0.3">
      <c r="B126" s="638" t="s">
        <v>1240</v>
      </c>
      <c r="C126" s="639"/>
      <c r="D126" s="639"/>
      <c r="E126" s="639"/>
      <c r="F126" s="772"/>
      <c r="G126" s="723">
        <f>IFERROR(E123/E124,0)</f>
        <v>0</v>
      </c>
      <c r="H126" s="724"/>
      <c r="I126" s="725"/>
      <c r="J126" s="11" t="s">
        <v>1156</v>
      </c>
    </row>
    <row r="127" spans="2:17" x14ac:dyDescent="0.3">
      <c r="B127" s="638" t="s">
        <v>1159</v>
      </c>
      <c r="C127" s="639"/>
      <c r="D127" s="639"/>
      <c r="E127" s="639"/>
      <c r="F127" s="772"/>
      <c r="G127" s="788" t="s">
        <v>1241</v>
      </c>
      <c r="H127" s="789"/>
      <c r="I127" s="789"/>
      <c r="J127" s="789"/>
      <c r="K127" s="789"/>
      <c r="L127" s="789"/>
      <c r="M127" s="789"/>
      <c r="N127" s="789"/>
      <c r="O127" s="789"/>
      <c r="P127" s="789"/>
      <c r="Q127" s="790"/>
    </row>
    <row r="128" spans="2:17" x14ac:dyDescent="0.3">
      <c r="G128" s="41"/>
      <c r="H128" s="41"/>
      <c r="I128" s="41"/>
      <c r="J128" s="41"/>
      <c r="K128" s="41"/>
      <c r="L128" s="41"/>
      <c r="M128" s="41"/>
      <c r="N128" s="41"/>
      <c r="O128" s="41"/>
      <c r="P128" s="41"/>
      <c r="Q128" s="41"/>
    </row>
    <row r="129" spans="1:17" x14ac:dyDescent="0.3">
      <c r="E129" s="16"/>
    </row>
    <row r="131" spans="1:17" x14ac:dyDescent="0.3">
      <c r="A131" s="645" t="s">
        <v>1242</v>
      </c>
      <c r="B131" s="646"/>
      <c r="C131" s="646"/>
      <c r="D131" s="646"/>
      <c r="E131" s="646"/>
      <c r="F131" s="646"/>
      <c r="G131" s="646"/>
      <c r="H131" s="646"/>
      <c r="I131" s="646"/>
      <c r="J131" s="646"/>
      <c r="K131" s="646"/>
      <c r="L131" s="646"/>
      <c r="M131" s="646"/>
      <c r="N131" s="646"/>
      <c r="O131" s="646"/>
      <c r="P131" s="646"/>
      <c r="Q131" s="646"/>
    </row>
    <row r="132" spans="1:17" ht="15" thickBot="1" x14ac:dyDescent="0.35"/>
    <row r="133" spans="1:17" ht="15" thickBot="1" x14ac:dyDescent="0.35">
      <c r="B133" t="s">
        <v>1243</v>
      </c>
      <c r="E133" s="55">
        <f>ROUND(E11,2)</f>
        <v>0</v>
      </c>
      <c r="F133" s="791" t="s">
        <v>1244</v>
      </c>
      <c r="G133" s="792"/>
      <c r="H133" s="792"/>
    </row>
    <row r="135" spans="1:17" x14ac:dyDescent="0.3">
      <c r="B135" s="649" t="s">
        <v>1581</v>
      </c>
      <c r="C135" s="650"/>
      <c r="D135" s="650"/>
      <c r="E135" s="650"/>
      <c r="F135" s="650"/>
      <c r="G135" s="650"/>
      <c r="H135" s="650"/>
      <c r="I135" s="650"/>
      <c r="J135" s="650"/>
      <c r="K135" s="650"/>
      <c r="L135" s="650"/>
      <c r="M135" s="650"/>
      <c r="N135" s="650"/>
      <c r="O135" s="650"/>
      <c r="P135" s="650"/>
      <c r="Q135" s="650"/>
    </row>
    <row r="136" spans="1:17" ht="15" thickBot="1" x14ac:dyDescent="0.35"/>
    <row r="137" spans="1:17" ht="15" customHeight="1" x14ac:dyDescent="0.3">
      <c r="B137" s="601" t="s">
        <v>1663</v>
      </c>
      <c r="C137" s="602"/>
      <c r="D137" s="602"/>
      <c r="E137" s="602"/>
      <c r="F137" s="602"/>
      <c r="G137" s="602"/>
      <c r="H137" s="602"/>
      <c r="I137" s="602"/>
      <c r="J137" s="602"/>
      <c r="K137" s="602"/>
      <c r="L137" s="602"/>
      <c r="M137" s="602"/>
      <c r="N137" s="602"/>
      <c r="O137" s="602"/>
      <c r="P137" s="602"/>
      <c r="Q137" s="603"/>
    </row>
    <row r="138" spans="1:17" x14ac:dyDescent="0.3">
      <c r="B138" s="604"/>
      <c r="C138" s="605"/>
      <c r="D138" s="605"/>
      <c r="E138" s="605"/>
      <c r="F138" s="605"/>
      <c r="G138" s="605"/>
      <c r="H138" s="605"/>
      <c r="I138" s="605"/>
      <c r="J138" s="605"/>
      <c r="K138" s="605"/>
      <c r="L138" s="605"/>
      <c r="M138" s="605"/>
      <c r="N138" s="605"/>
      <c r="O138" s="605"/>
      <c r="P138" s="605"/>
      <c r="Q138" s="606"/>
    </row>
    <row r="139" spans="1:17" x14ac:dyDescent="0.3">
      <c r="B139" s="604"/>
      <c r="C139" s="605"/>
      <c r="D139" s="605"/>
      <c r="E139" s="605"/>
      <c r="F139" s="605"/>
      <c r="G139" s="605"/>
      <c r="H139" s="605"/>
      <c r="I139" s="605"/>
      <c r="J139" s="605"/>
      <c r="K139" s="605"/>
      <c r="L139" s="605"/>
      <c r="M139" s="605"/>
      <c r="N139" s="605"/>
      <c r="O139" s="605"/>
      <c r="P139" s="605"/>
      <c r="Q139" s="606"/>
    </row>
    <row r="140" spans="1:17" ht="43.95" customHeight="1" thickBot="1" x14ac:dyDescent="0.35">
      <c r="B140" s="607"/>
      <c r="C140" s="608"/>
      <c r="D140" s="608"/>
      <c r="E140" s="608"/>
      <c r="F140" s="608"/>
      <c r="G140" s="608"/>
      <c r="H140" s="608"/>
      <c r="I140" s="608"/>
      <c r="J140" s="608"/>
      <c r="K140" s="608"/>
      <c r="L140" s="608"/>
      <c r="M140" s="608"/>
      <c r="N140" s="608"/>
      <c r="O140" s="608"/>
      <c r="P140" s="608"/>
      <c r="Q140" s="609"/>
    </row>
    <row r="141" spans="1:17" ht="15" thickBot="1" x14ac:dyDescent="0.35">
      <c r="B141" s="615" t="s">
        <v>33</v>
      </c>
      <c r="C141" s="615"/>
      <c r="D141" s="615"/>
      <c r="E141" s="185" t="s">
        <v>33</v>
      </c>
      <c r="F141" s="185" t="s">
        <v>33</v>
      </c>
      <c r="G141" s="185" t="s">
        <v>1245</v>
      </c>
    </row>
    <row r="142" spans="1:17" ht="15" customHeight="1" x14ac:dyDescent="0.3">
      <c r="B142" s="793" t="s">
        <v>1246</v>
      </c>
      <c r="C142" s="794"/>
      <c r="D142" s="795"/>
      <c r="E142" s="617" t="s">
        <v>1247</v>
      </c>
      <c r="F142" s="617" t="s">
        <v>1775</v>
      </c>
      <c r="G142" s="800" t="s">
        <v>1776</v>
      </c>
      <c r="H142" s="802" t="s">
        <v>1248</v>
      </c>
      <c r="I142" s="710"/>
      <c r="J142" s="710"/>
      <c r="K142" s="710"/>
      <c r="L142" s="44"/>
    </row>
    <row r="143" spans="1:17" ht="106.2" customHeight="1" thickBot="1" x14ac:dyDescent="0.35">
      <c r="B143" s="796"/>
      <c r="C143" s="797"/>
      <c r="D143" s="798"/>
      <c r="E143" s="799"/>
      <c r="F143" s="618"/>
      <c r="G143" s="801"/>
      <c r="H143" s="74"/>
      <c r="I143" s="79"/>
      <c r="J143" s="79"/>
      <c r="K143" s="79"/>
      <c r="L143" s="44"/>
    </row>
    <row r="144" spans="1:17" x14ac:dyDescent="0.3">
      <c r="B144" s="806"/>
      <c r="C144" s="807"/>
      <c r="D144" s="807"/>
      <c r="E144" s="247"/>
      <c r="F144" s="479">
        <v>0</v>
      </c>
      <c r="G144" s="477">
        <f t="shared" ref="G144:G162" si="3">IF(F144&gt;0,F144+forfait,0)</f>
        <v>0</v>
      </c>
      <c r="H144" s="679" t="s">
        <v>1249</v>
      </c>
      <c r="I144" s="808"/>
      <c r="J144" s="808"/>
      <c r="K144" s="79"/>
      <c r="L144" s="157" t="s">
        <v>1250</v>
      </c>
    </row>
    <row r="145" spans="2:16" x14ac:dyDescent="0.3">
      <c r="B145" s="809"/>
      <c r="C145" s="810"/>
      <c r="D145" s="811"/>
      <c r="E145" s="250"/>
      <c r="F145" s="268">
        <v>0</v>
      </c>
      <c r="G145" s="478">
        <f t="shared" si="3"/>
        <v>0</v>
      </c>
      <c r="H145" s="802" t="str">
        <f>IF(E163&lt;&gt;erkende_plaatsen1,"De totale forfaitgerechtigde capaciteit voor de vermelde dagprijzen stemt niet overeen met de capaciteit in de tabel 'generieke input.', cel F36","")</f>
        <v/>
      </c>
      <c r="I145" s="812"/>
      <c r="J145" s="812"/>
      <c r="K145" s="812"/>
      <c r="L145" s="812"/>
      <c r="M145" s="812"/>
      <c r="N145" s="99"/>
      <c r="O145" s="99"/>
      <c r="P145" s="99"/>
    </row>
    <row r="146" spans="2:16" x14ac:dyDescent="0.3">
      <c r="B146" s="809"/>
      <c r="C146" s="810"/>
      <c r="D146" s="811"/>
      <c r="E146" s="250"/>
      <c r="F146" s="268">
        <v>0</v>
      </c>
      <c r="G146" s="478">
        <f t="shared" si="3"/>
        <v>0</v>
      </c>
      <c r="H146" s="813" t="str">
        <f>IFERROR(IF(F163&gt;E133, "De gemiddelde prijs na aftrek forfait ligt hoger dan de verantwoorde prijs na aftrek forfait.Pas de prijs van 1 of meerdere kamertypes aan.",""),"")</f>
        <v/>
      </c>
      <c r="I146" s="813"/>
      <c r="J146" s="813"/>
      <c r="K146" s="813"/>
      <c r="L146" s="813"/>
    </row>
    <row r="147" spans="2:16" x14ac:dyDescent="0.3">
      <c r="B147" s="809"/>
      <c r="C147" s="810"/>
      <c r="D147" s="811"/>
      <c r="E147" s="250"/>
      <c r="F147" s="268">
        <v>0</v>
      </c>
      <c r="G147" s="478">
        <f t="shared" si="3"/>
        <v>0</v>
      </c>
      <c r="H147" s="803"/>
      <c r="I147" s="803"/>
      <c r="J147" s="803"/>
      <c r="K147" s="803"/>
      <c r="L147" s="803"/>
    </row>
    <row r="148" spans="2:16" x14ac:dyDescent="0.3">
      <c r="B148" s="804"/>
      <c r="C148" s="805"/>
      <c r="D148" s="805"/>
      <c r="E148" s="250"/>
      <c r="F148" s="264"/>
      <c r="G148" s="59">
        <f t="shared" si="3"/>
        <v>0</v>
      </c>
      <c r="H148" s="792"/>
      <c r="I148" s="792"/>
      <c r="J148" s="792"/>
      <c r="K148" s="792"/>
      <c r="L148" s="792"/>
    </row>
    <row r="149" spans="2:16" x14ac:dyDescent="0.3">
      <c r="B149" s="804"/>
      <c r="C149" s="805"/>
      <c r="D149" s="805"/>
      <c r="E149" s="250"/>
      <c r="F149" s="264"/>
      <c r="G149" s="59">
        <f t="shared" si="3"/>
        <v>0</v>
      </c>
      <c r="H149" s="135"/>
      <c r="I149" s="135"/>
      <c r="J149" s="135"/>
      <c r="K149" s="135"/>
      <c r="L149" s="135"/>
      <c r="M149" s="135"/>
    </row>
    <row r="150" spans="2:16" x14ac:dyDescent="0.3">
      <c r="B150" s="804"/>
      <c r="C150" s="805"/>
      <c r="D150" s="805"/>
      <c r="E150" s="250"/>
      <c r="F150" s="264"/>
      <c r="G150" s="59">
        <f t="shared" si="3"/>
        <v>0</v>
      </c>
      <c r="H150" s="148"/>
      <c r="I150" s="148"/>
      <c r="J150" s="148"/>
      <c r="K150" s="148"/>
      <c r="L150" s="148"/>
      <c r="M150" s="148"/>
      <c r="N150" s="68"/>
      <c r="O150" s="68"/>
      <c r="P150" s="68"/>
    </row>
    <row r="151" spans="2:16" x14ac:dyDescent="0.3">
      <c r="B151" s="804"/>
      <c r="C151" s="805"/>
      <c r="D151" s="805"/>
      <c r="E151" s="250"/>
      <c r="F151" s="264"/>
      <c r="G151" s="59">
        <f t="shared" si="3"/>
        <v>0</v>
      </c>
      <c r="H151" s="148"/>
      <c r="I151" s="148"/>
      <c r="J151" s="148"/>
      <c r="K151" s="148"/>
      <c r="L151" s="148"/>
      <c r="M151" s="148"/>
      <c r="N151" s="68"/>
      <c r="O151" s="68"/>
      <c r="P151" s="68"/>
    </row>
    <row r="152" spans="2:16" x14ac:dyDescent="0.3">
      <c r="B152" s="804"/>
      <c r="C152" s="805"/>
      <c r="D152" s="805"/>
      <c r="E152" s="250"/>
      <c r="F152" s="264"/>
      <c r="G152" s="59">
        <f t="shared" si="3"/>
        <v>0</v>
      </c>
      <c r="H152" s="43"/>
      <c r="I152" s="43"/>
      <c r="J152" s="43"/>
      <c r="K152" s="43"/>
      <c r="L152" s="43"/>
      <c r="M152" s="43"/>
      <c r="N152" s="43"/>
      <c r="O152" s="43"/>
      <c r="P152" s="43"/>
    </row>
    <row r="153" spans="2:16" x14ac:dyDescent="0.3">
      <c r="B153" s="804"/>
      <c r="C153" s="805"/>
      <c r="D153" s="805"/>
      <c r="E153" s="250"/>
      <c r="F153" s="264"/>
      <c r="G153" s="59">
        <f t="shared" si="3"/>
        <v>0</v>
      </c>
      <c r="H153" s="786" t="s">
        <v>1814</v>
      </c>
      <c r="I153" s="816"/>
      <c r="J153" s="816"/>
      <c r="K153" s="43"/>
      <c r="L153" s="43"/>
      <c r="M153" s="43"/>
      <c r="N153" s="43"/>
      <c r="O153" s="43"/>
      <c r="P153" s="43"/>
    </row>
    <row r="154" spans="2:16" x14ac:dyDescent="0.3">
      <c r="B154" s="804"/>
      <c r="C154" s="805"/>
      <c r="D154" s="805"/>
      <c r="E154" s="250"/>
      <c r="F154" s="264"/>
      <c r="G154" s="59">
        <f t="shared" si="3"/>
        <v>0</v>
      </c>
      <c r="H154" s="816"/>
      <c r="I154" s="816"/>
      <c r="J154" s="816"/>
    </row>
    <row r="155" spans="2:16" x14ac:dyDescent="0.3">
      <c r="B155" s="804"/>
      <c r="C155" s="805"/>
      <c r="D155" s="805"/>
      <c r="E155" s="250"/>
      <c r="F155" s="264"/>
      <c r="G155" s="59">
        <f t="shared" si="3"/>
        <v>0</v>
      </c>
      <c r="H155" s="816"/>
      <c r="I155" s="816"/>
      <c r="J155" s="816"/>
    </row>
    <row r="156" spans="2:16" x14ac:dyDescent="0.3">
      <c r="B156" s="804"/>
      <c r="C156" s="805"/>
      <c r="D156" s="805"/>
      <c r="E156" s="250"/>
      <c r="F156" s="264"/>
      <c r="G156" s="59">
        <f t="shared" si="3"/>
        <v>0</v>
      </c>
    </row>
    <row r="157" spans="2:16" x14ac:dyDescent="0.3">
      <c r="B157" s="804"/>
      <c r="C157" s="805"/>
      <c r="D157" s="805"/>
      <c r="E157" s="250"/>
      <c r="F157" s="264"/>
      <c r="G157" s="59">
        <f t="shared" si="3"/>
        <v>0</v>
      </c>
    </row>
    <row r="158" spans="2:16" x14ac:dyDescent="0.3">
      <c r="B158" s="804"/>
      <c r="C158" s="805"/>
      <c r="D158" s="805"/>
      <c r="E158" s="250"/>
      <c r="F158" s="264"/>
      <c r="G158" s="59">
        <f t="shared" si="3"/>
        <v>0</v>
      </c>
    </row>
    <row r="159" spans="2:16" x14ac:dyDescent="0.3">
      <c r="B159" s="804"/>
      <c r="C159" s="805"/>
      <c r="D159" s="805"/>
      <c r="E159" s="250"/>
      <c r="F159" s="264"/>
      <c r="G159" s="59">
        <f t="shared" si="3"/>
        <v>0</v>
      </c>
    </row>
    <row r="160" spans="2:16" x14ac:dyDescent="0.3">
      <c r="B160" s="804"/>
      <c r="C160" s="805"/>
      <c r="D160" s="805"/>
      <c r="E160" s="250"/>
      <c r="F160" s="264"/>
      <c r="G160" s="59">
        <f t="shared" si="3"/>
        <v>0</v>
      </c>
    </row>
    <row r="161" spans="2:22" x14ac:dyDescent="0.3">
      <c r="B161" s="804"/>
      <c r="C161" s="805"/>
      <c r="D161" s="805"/>
      <c r="E161" s="250"/>
      <c r="F161" s="264"/>
      <c r="G161" s="59">
        <f t="shared" si="3"/>
        <v>0</v>
      </c>
    </row>
    <row r="162" spans="2:22" ht="15" thickBot="1" x14ac:dyDescent="0.35">
      <c r="B162" s="814"/>
      <c r="C162" s="815"/>
      <c r="D162" s="815"/>
      <c r="E162" s="288"/>
      <c r="F162" s="387"/>
      <c r="G162" s="60">
        <f t="shared" si="3"/>
        <v>0</v>
      </c>
    </row>
    <row r="163" spans="2:22" ht="15" thickBot="1" x14ac:dyDescent="0.35">
      <c r="B163" s="817" t="s">
        <v>1251</v>
      </c>
      <c r="C163" s="818"/>
      <c r="D163" s="819"/>
      <c r="E163" s="45">
        <f>SUM(E144:E162)</f>
        <v>0</v>
      </c>
      <c r="F163" s="46">
        <f t="array" ref="F163">SUM(E144:E162*F144:F162)/IF(E163&gt;0,E163,1)</f>
        <v>0</v>
      </c>
      <c r="G163" s="61"/>
    </row>
    <row r="164" spans="2:22" x14ac:dyDescent="0.3">
      <c r="B164" s="42"/>
      <c r="C164" s="42"/>
      <c r="D164" s="42"/>
      <c r="F164" s="44"/>
    </row>
    <row r="165" spans="2:22" ht="17.25" customHeight="1" x14ac:dyDescent="0.3">
      <c r="B165" s="649" t="s">
        <v>1252</v>
      </c>
      <c r="C165" s="650"/>
      <c r="D165" s="650"/>
      <c r="E165" s="650"/>
      <c r="F165" s="650"/>
      <c r="G165" s="650"/>
      <c r="H165" s="650"/>
      <c r="I165" s="650"/>
      <c r="J165" s="650"/>
      <c r="K165" s="650"/>
      <c r="L165" s="650"/>
      <c r="M165" s="650"/>
      <c r="N165" s="650"/>
      <c r="O165" s="650"/>
      <c r="P165" s="650"/>
      <c r="Q165" s="820"/>
    </row>
    <row r="166" spans="2:22" ht="17.25" customHeight="1" thickBot="1" x14ac:dyDescent="0.35"/>
    <row r="167" spans="2:22" ht="17.25" customHeight="1" x14ac:dyDescent="0.3">
      <c r="B167" s="601" t="s">
        <v>1738</v>
      </c>
      <c r="C167" s="602"/>
      <c r="D167" s="602"/>
      <c r="E167" s="602"/>
      <c r="F167" s="602"/>
      <c r="G167" s="602"/>
      <c r="H167" s="602"/>
      <c r="I167" s="602"/>
      <c r="J167" s="602"/>
      <c r="K167" s="602"/>
      <c r="L167" s="602"/>
      <c r="M167" s="602"/>
      <c r="N167" s="602"/>
      <c r="O167" s="602"/>
      <c r="P167" s="602"/>
      <c r="Q167" s="603"/>
    </row>
    <row r="168" spans="2:22" ht="17.25" customHeight="1" x14ac:dyDescent="0.3">
      <c r="B168" s="604"/>
      <c r="C168" s="605"/>
      <c r="D168" s="605"/>
      <c r="E168" s="605"/>
      <c r="F168" s="605"/>
      <c r="G168" s="605"/>
      <c r="H168" s="605"/>
      <c r="I168" s="605"/>
      <c r="J168" s="605"/>
      <c r="K168" s="605"/>
      <c r="L168" s="605"/>
      <c r="M168" s="605"/>
      <c r="N168" s="605"/>
      <c r="O168" s="605"/>
      <c r="P168" s="605"/>
      <c r="Q168" s="606"/>
    </row>
    <row r="169" spans="2:22" ht="17.25" customHeight="1" x14ac:dyDescent="0.3">
      <c r="B169" s="604"/>
      <c r="C169" s="605"/>
      <c r="D169" s="605"/>
      <c r="E169" s="605"/>
      <c r="F169" s="605"/>
      <c r="G169" s="605"/>
      <c r="H169" s="605"/>
      <c r="I169" s="605"/>
      <c r="J169" s="605"/>
      <c r="K169" s="605"/>
      <c r="L169" s="605"/>
      <c r="M169" s="605"/>
      <c r="N169" s="605"/>
      <c r="O169" s="605"/>
      <c r="P169" s="605"/>
      <c r="Q169" s="606"/>
    </row>
    <row r="170" spans="2:22" ht="54.6" customHeight="1" thickBot="1" x14ac:dyDescent="0.35">
      <c r="B170" s="607"/>
      <c r="C170" s="608"/>
      <c r="D170" s="608"/>
      <c r="E170" s="608"/>
      <c r="F170" s="608"/>
      <c r="G170" s="608"/>
      <c r="H170" s="608"/>
      <c r="I170" s="608"/>
      <c r="J170" s="608"/>
      <c r="K170" s="608"/>
      <c r="L170" s="608"/>
      <c r="M170" s="608"/>
      <c r="N170" s="608"/>
      <c r="O170" s="608"/>
      <c r="P170" s="608"/>
      <c r="Q170" s="609"/>
    </row>
    <row r="171" spans="2:22" ht="17.25" customHeight="1" x14ac:dyDescent="0.3">
      <c r="B171" s="76"/>
      <c r="C171" s="76"/>
      <c r="D171" s="76"/>
      <c r="E171" s="76"/>
      <c r="F171" s="76"/>
      <c r="G171" s="76"/>
      <c r="H171" s="76"/>
      <c r="I171" s="76" t="s">
        <v>1563</v>
      </c>
      <c r="J171" s="76" t="s">
        <v>1563</v>
      </c>
      <c r="K171" s="76"/>
      <c r="L171" s="76"/>
      <c r="M171" s="76"/>
      <c r="N171" s="76"/>
      <c r="O171" s="76"/>
      <c r="P171" s="76"/>
      <c r="Q171" s="76"/>
    </row>
    <row r="172" spans="2:22" ht="13.65" customHeight="1" thickBot="1" x14ac:dyDescent="0.35">
      <c r="B172" s="615" t="s">
        <v>33</v>
      </c>
      <c r="C172" s="615"/>
      <c r="D172" s="615"/>
      <c r="E172" s="185" t="s">
        <v>33</v>
      </c>
      <c r="F172" s="185" t="s">
        <v>33</v>
      </c>
      <c r="G172" s="185" t="s">
        <v>1563</v>
      </c>
      <c r="H172" s="185" t="s">
        <v>33</v>
      </c>
      <c r="I172" s="115" t="s">
        <v>1568</v>
      </c>
      <c r="J172" s="147"/>
    </row>
    <row r="173" spans="2:22" ht="13.65" customHeight="1" x14ac:dyDescent="0.3">
      <c r="B173" s="793" t="s">
        <v>1253</v>
      </c>
      <c r="C173" s="794"/>
      <c r="D173" s="795"/>
      <c r="E173" s="617" t="s">
        <v>1247</v>
      </c>
      <c r="F173" s="837" t="s">
        <v>1860</v>
      </c>
      <c r="G173" s="617" t="s">
        <v>1812</v>
      </c>
      <c r="H173" s="617" t="str">
        <f>F142</f>
        <v>Aangevraagde dagprijs in nieuwe infrastructuur na aftrek forfait =Nettodagprijs</v>
      </c>
      <c r="I173" s="824" t="s">
        <v>1777</v>
      </c>
      <c r="J173" s="617" t="str">
        <f>G142</f>
        <v>Aangevraagde brutodagprijs in nieuwe infrastructuur vóór aftrek forfait = netto + forfait</v>
      </c>
      <c r="K173" s="826" t="s">
        <v>1254</v>
      </c>
      <c r="L173" s="827"/>
      <c r="M173" s="827"/>
      <c r="N173" s="828"/>
      <c r="O173" s="829"/>
    </row>
    <row r="174" spans="2:22" ht="90.6" customHeight="1" thickBot="1" x14ac:dyDescent="0.35">
      <c r="B174" s="821"/>
      <c r="C174" s="822"/>
      <c r="D174" s="823"/>
      <c r="E174" s="618"/>
      <c r="F174" s="838"/>
      <c r="G174" s="618"/>
      <c r="H174" s="618"/>
      <c r="I174" s="825"/>
      <c r="J174" s="618"/>
      <c r="K174" s="830"/>
      <c r="L174" s="831"/>
      <c r="M174" s="831"/>
      <c r="N174" s="832"/>
      <c r="O174" s="833"/>
      <c r="Q174" s="18"/>
    </row>
    <row r="175" spans="2:22" ht="34.799999999999997" customHeight="1" x14ac:dyDescent="0.3">
      <c r="B175" s="846"/>
      <c r="C175" s="847"/>
      <c r="D175" s="848"/>
      <c r="E175" s="265"/>
      <c r="F175" s="266">
        <v>0</v>
      </c>
      <c r="G175" s="402">
        <f t="shared" ref="G175:G193" si="4">IF(F175=0,0,F175-forfait)</f>
        <v>0</v>
      </c>
      <c r="H175" s="266">
        <v>0</v>
      </c>
      <c r="I175" s="385">
        <f t="shared" ref="I175:I193" si="5">IF(G175=0,H175,MIN(G175:H175))</f>
        <v>0</v>
      </c>
      <c r="J175" s="207">
        <f t="shared" ref="J175:J193" si="6">IF(I175&gt;0,I175+forfait,0)</f>
        <v>0</v>
      </c>
      <c r="K175" s="834" t="str">
        <f>IF(H175&gt;0,IF(G175=0,"De nettodagprijs na aftrek van het forfait stijgt niet in het eerste jaar en kan daarna elke 6 maand met max. "&amp; 'Parameters+keuzes'!$C$48 &amp;" euro worden verhoogd tot de goedgekeurde nettoprijs na aftrek van het forfait bereikt is.", "De nettodagprijs na aftrek van het forfait  kan  bij ingebruikname met max. "&amp; 'Parameters+keuzes'!$B$48&amp;" euro stijgen en kan daarna ten vroegste elke 6 maand met maximaal "&amp;  'Parameters+keuzes'!$B$48 &amp; " euro worden verhoogd tot de goedgekeurde nettoprijs na aftrek van het forfait bereikt is."),"")</f>
        <v/>
      </c>
      <c r="L175" s="835"/>
      <c r="M175" s="835"/>
      <c r="N175" s="835"/>
      <c r="O175" s="836"/>
      <c r="Q175" s="792" t="s">
        <v>1249</v>
      </c>
      <c r="R175" s="792"/>
      <c r="S175" s="792"/>
      <c r="T175" s="792"/>
      <c r="U175" s="792"/>
      <c r="V175" s="792"/>
    </row>
    <row r="176" spans="2:22" ht="34.799999999999997" customHeight="1" x14ac:dyDescent="0.3">
      <c r="B176" s="804"/>
      <c r="C176" s="805"/>
      <c r="D176" s="805"/>
      <c r="E176" s="267"/>
      <c r="F176" s="268">
        <v>0</v>
      </c>
      <c r="G176" s="357">
        <f t="shared" si="4"/>
        <v>0</v>
      </c>
      <c r="H176" s="268">
        <v>0</v>
      </c>
      <c r="I176" s="385">
        <f t="shared" si="5"/>
        <v>0</v>
      </c>
      <c r="J176" s="207">
        <f t="shared" si="6"/>
        <v>0</v>
      </c>
      <c r="K176" s="834" t="str">
        <f>IF(H176&gt;0,IF(G176=0,"De nettodagprijs na aftrek van het forfait stijgt niet in het eerste jaar en kan daarna elke 6 maand met max. "&amp; 'Parameters+keuzes'!$C$48 &amp;" euro worden verhoogd tot de goedgekeurde nettoprijs na aftrek van het forfait bereikt is.", "De nettodagprijs na aftrek van het forfait  kan  bij ingebruikname met max. "&amp; 'Parameters+keuzes'!$B$48&amp;" euro stijgen en kan daarna ten vroegste elke 6 maand met maximaal "&amp;  'Parameters+keuzes'!$B$48 &amp; " euro worden verhoogd tot de goedgekeurde nettoprijs na aftrek van het forfait bereikt is."),"")</f>
        <v/>
      </c>
      <c r="L176" s="835"/>
      <c r="M176" s="835"/>
      <c r="N176" s="835"/>
      <c r="O176" s="836"/>
      <c r="Q176" s="2" t="str">
        <f>IF(E194&gt;'Generieke input'!F36,"De capaciteit van de bestaande bewoners kan niet hoger zijn dan de capaciteit voor het forfait zoals vermeld in de generieke input.","")</f>
        <v/>
      </c>
    </row>
    <row r="177" spans="2:28" ht="34.799999999999997" customHeight="1" x14ac:dyDescent="0.3">
      <c r="B177" s="809"/>
      <c r="C177" s="810"/>
      <c r="D177" s="811"/>
      <c r="E177" s="267"/>
      <c r="F177" s="268">
        <v>0</v>
      </c>
      <c r="G177" s="357">
        <f t="shared" si="4"/>
        <v>0</v>
      </c>
      <c r="H177" s="268">
        <v>0</v>
      </c>
      <c r="I177" s="385">
        <f t="shared" si="5"/>
        <v>0</v>
      </c>
      <c r="J177" s="207">
        <f t="shared" si="6"/>
        <v>0</v>
      </c>
      <c r="K177" s="834" t="str">
        <f>IF(H177&gt;0,IF(G177=0,"De nettodagprijs na aftrek van het forfait stijgt niet in het eerste jaar en kan daarna elke 6 maand met max. "&amp; 'Parameters+keuzes'!$C$48 &amp;" euro worden verhoogd tot de goedgekeurde nettoprijs na aftrek van het forfait bereikt is.", "De nettodagprijs na aftrek van het forfait  kan  bij ingebruikname met max. "&amp; 'Parameters+keuzes'!$B$48&amp;" euro stijgen en kan daarna ten vroegste elke 6 maand met maximaal "&amp;  'Parameters+keuzes'!$B$48 &amp; " euro worden verhoogd tot de goedgekeurde nettoprijs na aftrek van het forfait bereikt is."),"")</f>
        <v/>
      </c>
      <c r="L177" s="835"/>
      <c r="M177" s="835"/>
      <c r="N177" s="835"/>
      <c r="O177" s="836"/>
      <c r="Q177" s="2" t="str">
        <f>IFERROR(IF(I194&gt;E133, "De gemiddelde goedgekeurde prijs na aftrek forfait ligt hoger dan de verantwoorde dagprijs na aftrek van het forfait.Pas de prijs van 1 of meerdere kamertypes aan.",""),"")</f>
        <v/>
      </c>
      <c r="AB177" t="s">
        <v>1255</v>
      </c>
    </row>
    <row r="178" spans="2:28" ht="34.799999999999997" customHeight="1" x14ac:dyDescent="0.3">
      <c r="B178" s="809"/>
      <c r="C178" s="810"/>
      <c r="D178" s="811"/>
      <c r="E178" s="267"/>
      <c r="F178" s="268">
        <v>0</v>
      </c>
      <c r="G178" s="357">
        <f t="shared" si="4"/>
        <v>0</v>
      </c>
      <c r="H178" s="268">
        <v>0</v>
      </c>
      <c r="I178" s="385">
        <f t="shared" si="5"/>
        <v>0</v>
      </c>
      <c r="J178" s="207">
        <f t="shared" si="6"/>
        <v>0</v>
      </c>
      <c r="K178" s="834" t="str">
        <f>IF(H178&gt;0,IF(G178=0,"De nettodagprijs na aftrek van het forfait stijgt niet in het eerste jaar en kan daarna elke 6 maand met max. "&amp; 'Parameters+keuzes'!$C$48 &amp;" euro worden verhoogd tot de goedgekeurde nettoprijs na aftrek van het forfait bereikt is.", "De nettodagprijs na aftrek van het forfait  kan  bij ingebruikname met max. "&amp; 'Parameters+keuzes'!$B$48&amp;" euro stijgen en kan daarna ten vroegste elke 6 maand met maximaal "&amp;  'Parameters+keuzes'!$B$48 &amp; " euro worden verhoogd tot de goedgekeurde nettoprijs na aftrek van het forfait bereikt is."),"")</f>
        <v/>
      </c>
      <c r="L178" s="835"/>
      <c r="M178" s="835"/>
      <c r="N178" s="835"/>
      <c r="O178" s="836"/>
      <c r="AB178" t="s">
        <v>1256</v>
      </c>
    </row>
    <row r="179" spans="2:28" ht="34.799999999999997" customHeight="1" x14ac:dyDescent="0.3">
      <c r="B179" s="809"/>
      <c r="C179" s="810"/>
      <c r="D179" s="811"/>
      <c r="E179" s="267"/>
      <c r="F179" s="268">
        <v>0</v>
      </c>
      <c r="G179" s="357">
        <f t="shared" si="4"/>
        <v>0</v>
      </c>
      <c r="H179" s="268">
        <v>0</v>
      </c>
      <c r="I179" s="385">
        <f t="shared" si="5"/>
        <v>0</v>
      </c>
      <c r="J179" s="207">
        <f t="shared" si="6"/>
        <v>0</v>
      </c>
      <c r="K179" s="834" t="str">
        <f>IF(H179&gt;0,IF(G179=0,"De nettodagprijs na aftrek van het forfait stijgt niet in het eerste jaar en kan daarna elke 6 maand met max. "&amp; 'Parameters+keuzes'!$C$48 &amp;" euro worden verhoogd tot de goedgekeurde nettoprijs na aftrek van het forfait bereikt is.", "De nettodagprijs na aftrek van het forfait  kan  bij ingebruikname met max. "&amp; 'Parameters+keuzes'!$B$48&amp;" euro stijgen en kan daarna ten vroegste elke 6 maand met maximaal "&amp;  'Parameters+keuzes'!$B$48 &amp; " euro worden verhoogd tot de goedgekeurde nettoprijs na aftrek van het forfait bereikt is."),"")</f>
        <v/>
      </c>
      <c r="L179" s="835"/>
      <c r="M179" s="835"/>
      <c r="N179" s="835"/>
      <c r="O179" s="836"/>
      <c r="Q179" s="792" t="s">
        <v>1257</v>
      </c>
      <c r="R179" s="792"/>
      <c r="S179" s="792"/>
      <c r="T179" s="792"/>
      <c r="U179" s="792"/>
      <c r="V179" s="792"/>
    </row>
    <row r="180" spans="2:28" ht="34.799999999999997" customHeight="1" x14ac:dyDescent="0.3">
      <c r="B180" s="809"/>
      <c r="C180" s="810"/>
      <c r="D180" s="811"/>
      <c r="E180" s="267"/>
      <c r="F180" s="268">
        <v>0</v>
      </c>
      <c r="G180" s="357">
        <f t="shared" si="4"/>
        <v>0</v>
      </c>
      <c r="H180" s="268">
        <v>0</v>
      </c>
      <c r="I180" s="385">
        <f t="shared" si="5"/>
        <v>0</v>
      </c>
      <c r="J180" s="207">
        <f t="shared" si="6"/>
        <v>0</v>
      </c>
      <c r="K180" s="834" t="str">
        <f>IF(H180&gt;0,IF(G180=0,"De nettodagprijs na aftrek van het forfait stijgt niet in het eerste jaar en kan daarna elke 6 maand met max. "&amp; 'Parameters+keuzes'!$C$48 &amp;" euro worden verhoogd tot de goedgekeurde nettoprijs na aftrek van het forfait bereikt is.", "De nettodagprijs na aftrek van het forfait  kan  bij ingebruikname met max. "&amp; 'Parameters+keuzes'!$B$48&amp;" euro stijgen en kan daarna ten vroegste elke 6 maand met maximaal "&amp;  'Parameters+keuzes'!$B$48 &amp; " euro worden verhoogd tot de goedgekeurde nettoprijs na aftrek van het forfait bereikt is."),"")</f>
        <v/>
      </c>
      <c r="L180" s="835"/>
      <c r="M180" s="835"/>
      <c r="N180" s="835"/>
      <c r="O180" s="836"/>
    </row>
    <row r="181" spans="2:28" ht="34.799999999999997" customHeight="1" x14ac:dyDescent="0.3">
      <c r="B181" s="809"/>
      <c r="C181" s="810"/>
      <c r="D181" s="811"/>
      <c r="E181" s="267"/>
      <c r="F181" s="268">
        <v>0</v>
      </c>
      <c r="G181" s="357">
        <f t="shared" si="4"/>
        <v>0</v>
      </c>
      <c r="H181" s="268">
        <v>0</v>
      </c>
      <c r="I181" s="385">
        <f t="shared" si="5"/>
        <v>0</v>
      </c>
      <c r="J181" s="207">
        <f t="shared" si="6"/>
        <v>0</v>
      </c>
      <c r="K181" s="834" t="str">
        <f>IF(H181&gt;0,IF(G181=0,"De nettodagprijs na aftrek van het forfait stijgt niet in het eerste jaar en kan daarna elke 6 maand met max. "&amp; 'Parameters+keuzes'!$C$48 &amp;" euro worden verhoogd tot de goedgekeurde nettoprijs na aftrek van het forfait bereikt is.", "De nettodagprijs na aftrek van het forfait  kan  bij ingebruikname met max. "&amp; 'Parameters+keuzes'!$B$48&amp;" euro stijgen en kan daarna ten vroegste elke 6 maand met maximaal "&amp;  'Parameters+keuzes'!$B$48 &amp; " euro worden verhoogd tot de goedgekeurde nettoprijs na aftrek van het forfait bereikt is."),"")</f>
        <v/>
      </c>
      <c r="L181" s="835"/>
      <c r="M181" s="835"/>
      <c r="N181" s="835"/>
      <c r="O181" s="836"/>
      <c r="Q181" s="43"/>
      <c r="R181" s="43"/>
      <c r="S181" s="43"/>
      <c r="T181" s="43"/>
      <c r="U181" s="43"/>
      <c r="V181" s="43"/>
      <c r="W181" s="43"/>
    </row>
    <row r="182" spans="2:28" ht="34.799999999999997" customHeight="1" x14ac:dyDescent="0.3">
      <c r="B182" s="809"/>
      <c r="C182" s="810"/>
      <c r="D182" s="811"/>
      <c r="E182" s="267"/>
      <c r="F182" s="268">
        <v>0</v>
      </c>
      <c r="G182" s="357">
        <f t="shared" si="4"/>
        <v>0</v>
      </c>
      <c r="H182" s="268">
        <v>0</v>
      </c>
      <c r="I182" s="385">
        <f t="shared" si="5"/>
        <v>0</v>
      </c>
      <c r="J182" s="207">
        <f t="shared" si="6"/>
        <v>0</v>
      </c>
      <c r="K182" s="834" t="str">
        <f>IF(H182&gt;0,IF(G182=0,"De nettodagprijs na aftrek van het forfait stijgt niet in het eerste jaar en kan daarna elke 6 maand met max. "&amp; 'Parameters+keuzes'!$C$48 &amp;" euro worden verhoogd tot de goedgekeurde nettoprijs na aftrek van het forfait bereikt is.", "De nettodagprijs na aftrek van het forfait  kan  bij ingebruikname met max. "&amp; 'Parameters+keuzes'!$B$48&amp;" euro stijgen en kan daarna ten vroegste elke 6 maand met maximaal "&amp;  'Parameters+keuzes'!$B$48 &amp; " euro worden verhoogd tot de goedgekeurde nettoprijs na aftrek van het forfait bereikt is."),"")</f>
        <v/>
      </c>
      <c r="L182" s="835"/>
      <c r="M182" s="835"/>
      <c r="N182" s="835"/>
      <c r="O182" s="836"/>
      <c r="Q182" s="43"/>
      <c r="R182" s="43"/>
      <c r="S182" s="43"/>
      <c r="T182" s="43"/>
      <c r="U182" s="43"/>
      <c r="V182" s="43"/>
      <c r="W182" s="43"/>
    </row>
    <row r="183" spans="2:28" ht="34.799999999999997" customHeight="1" x14ac:dyDescent="0.3">
      <c r="B183" s="809"/>
      <c r="C183" s="810"/>
      <c r="D183" s="811"/>
      <c r="E183" s="267"/>
      <c r="F183" s="268">
        <v>0</v>
      </c>
      <c r="G183" s="357">
        <f t="shared" si="4"/>
        <v>0</v>
      </c>
      <c r="H183" s="268">
        <v>0</v>
      </c>
      <c r="I183" s="385">
        <f t="shared" si="5"/>
        <v>0</v>
      </c>
      <c r="J183" s="207">
        <f t="shared" si="6"/>
        <v>0</v>
      </c>
      <c r="K183" s="834" t="str">
        <f>IF(H183&gt;0,IF(G183=0,"De nettodagprijs na aftrek van het forfait stijgt niet in het eerste jaar en kan daarna elke 6 maand met max. "&amp; 'Parameters+keuzes'!$C$48 &amp;" euro worden verhoogd tot de goedgekeurde nettoprijs na aftrek van het forfait bereikt is.", "De nettodagprijs na aftrek van het forfait  kan  bij ingebruikname met max. "&amp; 'Parameters+keuzes'!$B$48&amp;" euro stijgen en kan daarna ten vroegste elke 6 maand met maximaal "&amp;  'Parameters+keuzes'!$B$48 &amp; " euro worden verhoogd tot de goedgekeurde nettoprijs na aftrek van het forfait bereikt is."),"")</f>
        <v/>
      </c>
      <c r="L183" s="835"/>
      <c r="M183" s="835"/>
      <c r="N183" s="835"/>
      <c r="O183" s="836"/>
      <c r="Q183" s="43" t="str">
        <f xml:space="preserve"> "De factuur vermeldt:"</f>
        <v>De factuur vermeldt:</v>
      </c>
      <c r="R183" s="43"/>
      <c r="S183" s="43"/>
      <c r="T183" s="43"/>
    </row>
    <row r="184" spans="2:28" ht="34.799999999999997" customHeight="1" x14ac:dyDescent="0.3">
      <c r="B184" s="809"/>
      <c r="C184" s="810"/>
      <c r="D184" s="811"/>
      <c r="E184" s="267"/>
      <c r="F184" s="268">
        <v>0</v>
      </c>
      <c r="G184" s="357">
        <f t="shared" si="4"/>
        <v>0</v>
      </c>
      <c r="H184" s="268">
        <v>0</v>
      </c>
      <c r="I184" s="385">
        <f t="shared" si="5"/>
        <v>0</v>
      </c>
      <c r="J184" s="207">
        <f t="shared" si="6"/>
        <v>0</v>
      </c>
      <c r="K184" s="834" t="str">
        <f>IF(H184&gt;0,IF(G184=0,"De nettodagprijs na aftrek van het forfait stijgt niet in het eerste jaar en kan daarna elke 6 maand met max. "&amp; 'Parameters+keuzes'!$C$48 &amp;" euro worden verhoogd tot de goedgekeurde nettoprijs na aftrek van het forfait bereikt is.", "De nettodagprijs na aftrek van het forfait  kan  bij ingebruikname met max. "&amp; 'Parameters+keuzes'!$B$48&amp;" euro stijgen en kan daarna ten vroegste elke 6 maand met maximaal "&amp;  'Parameters+keuzes'!$B$48 &amp; " euro worden verhoogd tot de goedgekeurde nettoprijs na aftrek van het forfait bereikt is."),"")</f>
        <v/>
      </c>
      <c r="L184" s="835"/>
      <c r="M184" s="835"/>
      <c r="N184" s="835"/>
      <c r="O184" s="836"/>
      <c r="Q184" s="786" t="str">
        <f>"Brutoprijs" &amp;
" (kolom J)
- forfait 6,29 euro
= Nettodagprijs na bescherming (kolom I)"</f>
        <v>Brutoprijs (kolom J)
- forfait 6,29 euro
= Nettodagprijs na bescherming (kolom I)</v>
      </c>
      <c r="R184" s="816"/>
      <c r="S184" s="816"/>
      <c r="T184" s="816"/>
    </row>
    <row r="185" spans="2:28" ht="34.799999999999997" customHeight="1" x14ac:dyDescent="0.3">
      <c r="B185" s="809"/>
      <c r="C185" s="810"/>
      <c r="D185" s="811"/>
      <c r="E185" s="267"/>
      <c r="F185" s="268">
        <v>0</v>
      </c>
      <c r="G185" s="357">
        <f t="shared" si="4"/>
        <v>0</v>
      </c>
      <c r="H185" s="268">
        <v>0</v>
      </c>
      <c r="I185" s="385">
        <f t="shared" si="5"/>
        <v>0</v>
      </c>
      <c r="J185" s="207">
        <f t="shared" si="6"/>
        <v>0</v>
      </c>
      <c r="K185" s="834" t="str">
        <f>IF(H185&gt;0,IF(G185=0,"De nettodagprijs na aftrek van het forfait stijgt niet in het eerste jaar en kan daarna elke 6 maand met max. "&amp; 'Parameters+keuzes'!$C$48 &amp;" euro worden verhoogd tot de goedgekeurde nettoprijs na aftrek van het forfait bereikt is.", "De nettodagprijs na aftrek van het forfait  kan  bij ingebruikname met max. "&amp; 'Parameters+keuzes'!$B$48&amp;" euro stijgen en kan daarna ten vroegste elke 6 maand met maximaal "&amp;  'Parameters+keuzes'!$B$48 &amp; " euro worden verhoogd tot de goedgekeurde nettoprijs na aftrek van het forfait bereikt is."),"")</f>
        <v/>
      </c>
      <c r="L185" s="835"/>
      <c r="M185" s="835"/>
      <c r="N185" s="835"/>
      <c r="O185" s="836"/>
      <c r="Q185" s="816"/>
      <c r="R185" s="816"/>
      <c r="S185" s="816"/>
      <c r="T185" s="816"/>
    </row>
    <row r="186" spans="2:28" ht="34.799999999999997" customHeight="1" x14ac:dyDescent="0.3">
      <c r="B186" s="809"/>
      <c r="C186" s="810"/>
      <c r="D186" s="811"/>
      <c r="E186" s="267"/>
      <c r="F186" s="268">
        <v>0</v>
      </c>
      <c r="G186" s="357">
        <f t="shared" si="4"/>
        <v>0</v>
      </c>
      <c r="H186" s="268">
        <v>0</v>
      </c>
      <c r="I186" s="385">
        <f t="shared" si="5"/>
        <v>0</v>
      </c>
      <c r="J186" s="207">
        <f t="shared" si="6"/>
        <v>0</v>
      </c>
      <c r="K186" s="834" t="str">
        <f>IF(H186&gt;0,IF(G186=0,"De nettodagprijs na aftrek van het forfait stijgt niet in het eerste jaar en kan daarna elke 6 maand met max. "&amp; 'Parameters+keuzes'!$C$48 &amp;" euro worden verhoogd tot de goedgekeurde nettoprijs na aftrek van het forfait bereikt is.", "De nettodagprijs na aftrek van het forfait  kan  bij ingebruikname met max. "&amp; 'Parameters+keuzes'!$B$48&amp;" euro stijgen en kan daarna ten vroegste elke 6 maand met maximaal "&amp;  'Parameters+keuzes'!$B$48 &amp; " euro worden verhoogd tot de goedgekeurde nettoprijs na aftrek van het forfait bereikt is."),"")</f>
        <v/>
      </c>
      <c r="L186" s="835"/>
      <c r="M186" s="835"/>
      <c r="N186" s="835"/>
      <c r="O186" s="836"/>
      <c r="Q186" s="816"/>
      <c r="R186" s="816"/>
      <c r="S186" s="816"/>
      <c r="T186" s="816"/>
    </row>
    <row r="187" spans="2:28" ht="34.799999999999997" customHeight="1" x14ac:dyDescent="0.3">
      <c r="B187" s="809"/>
      <c r="C187" s="810"/>
      <c r="D187" s="811"/>
      <c r="E187" s="267"/>
      <c r="F187" s="268">
        <v>0</v>
      </c>
      <c r="G187" s="357">
        <f t="shared" si="4"/>
        <v>0</v>
      </c>
      <c r="H187" s="268">
        <v>0</v>
      </c>
      <c r="I187" s="385">
        <f t="shared" si="5"/>
        <v>0</v>
      </c>
      <c r="J187" s="207">
        <f t="shared" si="6"/>
        <v>0</v>
      </c>
      <c r="K187" s="834" t="str">
        <f>IF(H187&gt;0,IF(G187=0,"De nettodagprijs na aftrek van het forfait stijgt niet in het eerste jaar en kan daarna elke 6 maand met max. "&amp; 'Parameters+keuzes'!$C$48 &amp;" euro worden verhoogd tot de goedgekeurde nettoprijs na aftrek van het forfait bereikt is.", "De nettodagprijs na aftrek van het forfait  kan  bij ingebruikname met max. "&amp; 'Parameters+keuzes'!$B$48&amp;" euro stijgen en kan daarna ten vroegste elke 6 maand met maximaal "&amp;  'Parameters+keuzes'!$B$48 &amp; " euro worden verhoogd tot de goedgekeurde nettoprijs na aftrek van het forfait bereikt is."),"")</f>
        <v/>
      </c>
      <c r="L187" s="835"/>
      <c r="M187" s="835"/>
      <c r="N187" s="835"/>
      <c r="O187" s="836"/>
    </row>
    <row r="188" spans="2:28" ht="34.799999999999997" customHeight="1" x14ac:dyDescent="0.3">
      <c r="B188" s="809"/>
      <c r="C188" s="810"/>
      <c r="D188" s="811"/>
      <c r="E188" s="267"/>
      <c r="F188" s="268">
        <v>0</v>
      </c>
      <c r="G188" s="357">
        <f t="shared" si="4"/>
        <v>0</v>
      </c>
      <c r="H188" s="268">
        <v>0</v>
      </c>
      <c r="I188" s="385">
        <f t="shared" si="5"/>
        <v>0</v>
      </c>
      <c r="J188" s="207">
        <f t="shared" si="6"/>
        <v>0</v>
      </c>
      <c r="K188" s="834" t="str">
        <f>IF(H188&gt;0,IF(G188=0,"De nettodagprijs na aftrek van het forfait stijgt niet in het eerste jaar en kan daarna elke 6 maand met max. "&amp; 'Parameters+keuzes'!$C$48 &amp;" euro worden verhoogd tot de goedgekeurde nettoprijs na aftrek van het forfait bereikt is.", "De nettodagprijs na aftrek van het forfait  kan  bij ingebruikname met max. "&amp; 'Parameters+keuzes'!$B$48&amp;" euro stijgen en kan daarna ten vroegste elke 6 maand met maximaal "&amp;  'Parameters+keuzes'!$B$48 &amp; " euro worden verhoogd tot de goedgekeurde nettoprijs na aftrek van het forfait bereikt is."),"")</f>
        <v/>
      </c>
      <c r="L188" s="835"/>
      <c r="M188" s="835"/>
      <c r="N188" s="835"/>
      <c r="O188" s="836"/>
      <c r="Q188" s="9"/>
    </row>
    <row r="189" spans="2:28" ht="34.799999999999997" customHeight="1" x14ac:dyDescent="0.3">
      <c r="B189" s="809"/>
      <c r="C189" s="810"/>
      <c r="D189" s="811"/>
      <c r="E189" s="267"/>
      <c r="F189" s="268">
        <v>0</v>
      </c>
      <c r="G189" s="357">
        <f t="shared" si="4"/>
        <v>0</v>
      </c>
      <c r="H189" s="268">
        <v>0</v>
      </c>
      <c r="I189" s="385">
        <f t="shared" si="5"/>
        <v>0</v>
      </c>
      <c r="J189" s="207">
        <f t="shared" si="6"/>
        <v>0</v>
      </c>
      <c r="K189" s="834" t="str">
        <f>IF(H189&gt;0,IF(G189=0,"De nettodagprijs na aftrek van het forfait stijgt niet in het eerste jaar en kan daarna elke 6 maand met max. "&amp; 'Parameters+keuzes'!$C$48 &amp;" euro worden verhoogd tot de goedgekeurde nettoprijs na aftrek van het forfait bereikt is.", "De nettodagprijs na aftrek van het forfait  kan  bij ingebruikname met max. "&amp; 'Parameters+keuzes'!$B$48&amp;" euro stijgen en kan daarna ten vroegste elke 6 maand met maximaal "&amp;  'Parameters+keuzes'!$B$48 &amp; " euro worden verhoogd tot de goedgekeurde nettoprijs na aftrek van het forfait bereikt is."),"")</f>
        <v/>
      </c>
      <c r="L189" s="835"/>
      <c r="M189" s="835"/>
      <c r="N189" s="835"/>
      <c r="O189" s="836"/>
      <c r="Q189" s="98"/>
    </row>
    <row r="190" spans="2:28" ht="34.799999999999997" customHeight="1" x14ac:dyDescent="0.3">
      <c r="B190" s="809"/>
      <c r="C190" s="810"/>
      <c r="D190" s="811"/>
      <c r="E190" s="267"/>
      <c r="F190" s="268">
        <v>0</v>
      </c>
      <c r="G190" s="357">
        <f t="shared" si="4"/>
        <v>0</v>
      </c>
      <c r="H190" s="268">
        <v>0</v>
      </c>
      <c r="I190" s="385">
        <f t="shared" si="5"/>
        <v>0</v>
      </c>
      <c r="J190" s="207">
        <f t="shared" si="6"/>
        <v>0</v>
      </c>
      <c r="K190" s="834" t="str">
        <f>IF(H190&gt;0,IF(G190=0,"De nettodagprijs na aftrek van het forfait stijgt niet in het eerste jaar en kan daarna elke 6 maand met max. "&amp; 'Parameters+keuzes'!$C$48 &amp;" euro worden verhoogd tot de goedgekeurde nettoprijs na aftrek van het forfait bereikt is.", "De nettodagprijs na aftrek van het forfait  kan  bij ingebruikname met max. "&amp; 'Parameters+keuzes'!$B$48&amp;" euro stijgen en kan daarna ten vroegste elke 6 maand met maximaal "&amp;  'Parameters+keuzes'!$B$48 &amp; " euro worden verhoogd tot de goedgekeurde nettoprijs na aftrek van het forfait bereikt is."),"")</f>
        <v/>
      </c>
      <c r="L190" s="835"/>
      <c r="M190" s="835"/>
      <c r="N190" s="835"/>
      <c r="O190" s="836"/>
      <c r="Q190" s="98"/>
    </row>
    <row r="191" spans="2:28" ht="34.799999999999997" customHeight="1" x14ac:dyDescent="0.3">
      <c r="B191" s="809"/>
      <c r="C191" s="810"/>
      <c r="D191" s="811"/>
      <c r="E191" s="267"/>
      <c r="F191" s="268">
        <v>0</v>
      </c>
      <c r="G191" s="357">
        <f t="shared" si="4"/>
        <v>0</v>
      </c>
      <c r="H191" s="268">
        <v>0</v>
      </c>
      <c r="I191" s="385">
        <f t="shared" si="5"/>
        <v>0</v>
      </c>
      <c r="J191" s="207">
        <f t="shared" si="6"/>
        <v>0</v>
      </c>
      <c r="K191" s="834" t="str">
        <f>IF(H191&gt;0,IF(G191=0,"De nettodagprijs na aftrek van het forfait stijgt niet in het eerste jaar en kan daarna elke 6 maand met max. "&amp; 'Parameters+keuzes'!$C$48 &amp;" euro worden verhoogd tot de goedgekeurde nettoprijs na aftrek van het forfait bereikt is.", "De nettodagprijs na aftrek van het forfait  kan  bij ingebruikname met max. "&amp; 'Parameters+keuzes'!$B$48&amp;" euro stijgen en kan daarna ten vroegste elke 6 maand met maximaal "&amp;  'Parameters+keuzes'!$B$48 &amp; " euro worden verhoogd tot de goedgekeurde nettoprijs na aftrek van het forfait bereikt is."),"")</f>
        <v/>
      </c>
      <c r="L191" s="835"/>
      <c r="M191" s="835"/>
      <c r="N191" s="835"/>
      <c r="O191" s="836"/>
    </row>
    <row r="192" spans="2:28" ht="34.799999999999997" customHeight="1" x14ac:dyDescent="0.3">
      <c r="B192" s="809"/>
      <c r="C192" s="810"/>
      <c r="D192" s="811"/>
      <c r="E192" s="267"/>
      <c r="F192" s="268">
        <v>0</v>
      </c>
      <c r="G192" s="357">
        <f t="shared" si="4"/>
        <v>0</v>
      </c>
      <c r="H192" s="268">
        <v>0</v>
      </c>
      <c r="I192" s="385">
        <f t="shared" si="5"/>
        <v>0</v>
      </c>
      <c r="J192" s="207">
        <f t="shared" si="6"/>
        <v>0</v>
      </c>
      <c r="K192" s="834" t="str">
        <f>IF(H192&gt;0,IF(G192=0,"De nettodagprijs na aftrek van het forfait stijgt niet in het eerste jaar en kan daarna elke 6 maand met max. "&amp; 'Parameters+keuzes'!$C$48 &amp;" euro worden verhoogd tot de goedgekeurde nettoprijs na aftrek van het forfait bereikt is.", "De nettodagprijs na aftrek van het forfait  kan  bij ingebruikname met max. "&amp; 'Parameters+keuzes'!$B$48&amp;" euro stijgen en kan daarna ten vroegste elke 6 maand met maximaal "&amp;  'Parameters+keuzes'!$B$48 &amp; " euro worden verhoogd tot de goedgekeurde nettoprijs na aftrek van het forfait bereikt is."),"")</f>
        <v/>
      </c>
      <c r="L192" s="835"/>
      <c r="M192" s="835"/>
      <c r="N192" s="835"/>
      <c r="O192" s="836"/>
      <c r="Q192" s="9"/>
    </row>
    <row r="193" spans="2:17" ht="34.799999999999997" customHeight="1" thickBot="1" x14ac:dyDescent="0.35">
      <c r="B193" s="809"/>
      <c r="C193" s="810"/>
      <c r="D193" s="811"/>
      <c r="E193" s="269"/>
      <c r="F193" s="268">
        <v>0</v>
      </c>
      <c r="G193" s="356">
        <f t="shared" si="4"/>
        <v>0</v>
      </c>
      <c r="H193" s="270">
        <v>0</v>
      </c>
      <c r="I193" s="386">
        <f t="shared" si="5"/>
        <v>0</v>
      </c>
      <c r="J193" s="208">
        <f t="shared" si="6"/>
        <v>0</v>
      </c>
      <c r="K193" s="834" t="str">
        <f>IF(H193&gt;0,IF(G193=0,"De nettodagprijs na aftrek van het forfait stijgt niet in het eerste jaar en kan daarna elke 6 maand met max. "&amp; 'Parameters+keuzes'!$C$48 &amp;" euro worden verhoogd tot de goedgekeurde nettoprijs na aftrek van het forfait bereikt is.", "De nettodagprijs na aftrek van het forfait  kan  bij ingebruikname met max. "&amp; 'Parameters+keuzes'!$B$48&amp;" euro stijgen en kan daarna ten vroegste elke 6 maand met maximaal "&amp;  'Parameters+keuzes'!$B$48 &amp; " euro worden verhoogd tot de goedgekeurde nettoprijs na aftrek van het forfait bereikt is."),"")</f>
        <v/>
      </c>
      <c r="L193" s="835"/>
      <c r="M193" s="835"/>
      <c r="N193" s="835"/>
      <c r="O193" s="836"/>
      <c r="Q193" s="9"/>
    </row>
    <row r="194" spans="2:17" ht="15" thickBot="1" x14ac:dyDescent="0.35">
      <c r="B194" s="839" t="s">
        <v>1251</v>
      </c>
      <c r="C194" s="840"/>
      <c r="D194" s="841"/>
      <c r="E194" s="97">
        <f>SUM(E175:E193)</f>
        <v>0</v>
      </c>
      <c r="F194" s="150"/>
      <c r="G194" s="150"/>
      <c r="H194" s="151">
        <f t="array" ref="H194">SUM(E175:E193*H175:H193)/IF(E194&gt;0,E194,1)</f>
        <v>0</v>
      </c>
      <c r="I194" s="152">
        <f t="array" ref="I194">SUM(E175:E193*I175:I193)/IF($E$194&gt;0,$E$194,1)</f>
        <v>0</v>
      </c>
      <c r="J194" s="153">
        <f>I194+forfait</f>
        <v>6.29</v>
      </c>
      <c r="K194" s="842"/>
      <c r="L194" s="843"/>
      <c r="M194" s="843"/>
      <c r="N194" s="843"/>
      <c r="O194" s="844"/>
      <c r="Q194" s="9"/>
    </row>
    <row r="195" spans="2:17" ht="20.25" customHeight="1" thickBot="1" x14ac:dyDescent="0.35">
      <c r="B195" s="42"/>
    </row>
    <row r="196" spans="2:17" ht="15" thickBot="1" x14ac:dyDescent="0.35">
      <c r="B196" s="638" t="s">
        <v>1258</v>
      </c>
      <c r="C196" s="639"/>
      <c r="D196" s="639"/>
      <c r="E196" s="640" t="s">
        <v>1744</v>
      </c>
      <c r="F196" s="641"/>
      <c r="G196" s="641"/>
      <c r="H196" s="641"/>
      <c r="I196" s="642"/>
    </row>
    <row r="197" spans="2:17" ht="15" thickBot="1" x14ac:dyDescent="0.35">
      <c r="E197" s="640" t="s">
        <v>1813</v>
      </c>
      <c r="F197" s="641"/>
      <c r="G197" s="641"/>
      <c r="H197" s="641"/>
      <c r="I197" s="642"/>
    </row>
    <row r="200" spans="2:17" x14ac:dyDescent="0.3">
      <c r="B200" s="1" t="s">
        <v>1856</v>
      </c>
    </row>
    <row r="201" spans="2:17" x14ac:dyDescent="0.3">
      <c r="B201" t="s">
        <v>1858</v>
      </c>
    </row>
    <row r="202" spans="2:17" x14ac:dyDescent="0.3">
      <c r="B202" t="s">
        <v>1859</v>
      </c>
    </row>
  </sheetData>
  <sheetProtection algorithmName="SHA-512" hashValue="qRA9XjSYN8/YUQk9N5MyoNHJsxDQoGeLuMG7Yr+DjjcbWNAr42SIppmVUh7VAzWpyDKpxJIhumHGETyPpTzi2Q==" saltValue="jBFuFDSimYxekLrzJejAxA==" spinCount="100000" sheet="1" objects="1" scenarios="1"/>
  <mergeCells count="239">
    <mergeCell ref="G104:L104"/>
    <mergeCell ref="B183:D183"/>
    <mergeCell ref="B184:D184"/>
    <mergeCell ref="Q184:T186"/>
    <mergeCell ref="B185:D185"/>
    <mergeCell ref="B186:D186"/>
    <mergeCell ref="B187:D187"/>
    <mergeCell ref="B179:D179"/>
    <mergeCell ref="Q179:V179"/>
    <mergeCell ref="B180:D180"/>
    <mergeCell ref="B181:D181"/>
    <mergeCell ref="B182:D182"/>
    <mergeCell ref="K179:O179"/>
    <mergeCell ref="K180:O180"/>
    <mergeCell ref="K181:O181"/>
    <mergeCell ref="K182:O182"/>
    <mergeCell ref="K183:O183"/>
    <mergeCell ref="K184:O184"/>
    <mergeCell ref="K185:O185"/>
    <mergeCell ref="K186:O186"/>
    <mergeCell ref="K187:O187"/>
    <mergeCell ref="B175:D175"/>
    <mergeCell ref="Q175:V175"/>
    <mergeCell ref="B176:D176"/>
    <mergeCell ref="B194:D194"/>
    <mergeCell ref="B188:D188"/>
    <mergeCell ref="B189:D189"/>
    <mergeCell ref="B190:D190"/>
    <mergeCell ref="B191:D191"/>
    <mergeCell ref="B192:D192"/>
    <mergeCell ref="B193:D193"/>
    <mergeCell ref="K188:O188"/>
    <mergeCell ref="K189:O189"/>
    <mergeCell ref="K190:O190"/>
    <mergeCell ref="K191:O191"/>
    <mergeCell ref="K192:O192"/>
    <mergeCell ref="K193:O193"/>
    <mergeCell ref="K194:O194"/>
    <mergeCell ref="B177:D177"/>
    <mergeCell ref="B178:D178"/>
    <mergeCell ref="B163:D163"/>
    <mergeCell ref="B165:Q165"/>
    <mergeCell ref="B167:Q170"/>
    <mergeCell ref="B173:D174"/>
    <mergeCell ref="E173:E174"/>
    <mergeCell ref="G173:G174"/>
    <mergeCell ref="H173:H174"/>
    <mergeCell ref="I173:I174"/>
    <mergeCell ref="K173:O174"/>
    <mergeCell ref="K175:O175"/>
    <mergeCell ref="K176:O176"/>
    <mergeCell ref="K177:O177"/>
    <mergeCell ref="K178:O178"/>
    <mergeCell ref="F173:F174"/>
    <mergeCell ref="B172:D172"/>
    <mergeCell ref="B157:D157"/>
    <mergeCell ref="B158:D158"/>
    <mergeCell ref="B159:D159"/>
    <mergeCell ref="B160:D160"/>
    <mergeCell ref="B161:D161"/>
    <mergeCell ref="B162:D162"/>
    <mergeCell ref="B152:D152"/>
    <mergeCell ref="B153:D153"/>
    <mergeCell ref="H153:J155"/>
    <mergeCell ref="B154:D154"/>
    <mergeCell ref="B155:D155"/>
    <mergeCell ref="B156:D156"/>
    <mergeCell ref="B148:D148"/>
    <mergeCell ref="H148:L148"/>
    <mergeCell ref="B149:D149"/>
    <mergeCell ref="B150:D150"/>
    <mergeCell ref="B151:D151"/>
    <mergeCell ref="B144:D144"/>
    <mergeCell ref="H144:J144"/>
    <mergeCell ref="B145:D145"/>
    <mergeCell ref="H145:M145"/>
    <mergeCell ref="B146:D146"/>
    <mergeCell ref="H146:L147"/>
    <mergeCell ref="B147:D147"/>
    <mergeCell ref="F133:H133"/>
    <mergeCell ref="B135:Q135"/>
    <mergeCell ref="B137:Q140"/>
    <mergeCell ref="B142:D143"/>
    <mergeCell ref="E142:E143"/>
    <mergeCell ref="F142:F143"/>
    <mergeCell ref="G142:G143"/>
    <mergeCell ref="H142:K142"/>
    <mergeCell ref="B123:D123"/>
    <mergeCell ref="B126:F126"/>
    <mergeCell ref="G126:I126"/>
    <mergeCell ref="B127:F127"/>
    <mergeCell ref="G127:Q127"/>
    <mergeCell ref="A131:Q131"/>
    <mergeCell ref="B141:D141"/>
    <mergeCell ref="B88:Q88"/>
    <mergeCell ref="B90:Q90"/>
    <mergeCell ref="B92:D92"/>
    <mergeCell ref="G93:M93"/>
    <mergeCell ref="H96:Q96"/>
    <mergeCell ref="H98:M98"/>
    <mergeCell ref="B79:D79"/>
    <mergeCell ref="B85:F85"/>
    <mergeCell ref="G85:I85"/>
    <mergeCell ref="B86:F86"/>
    <mergeCell ref="G86:Q86"/>
    <mergeCell ref="B69:E69"/>
    <mergeCell ref="F69:Q69"/>
    <mergeCell ref="B72:Q72"/>
    <mergeCell ref="B74:M75"/>
    <mergeCell ref="B78:D78"/>
    <mergeCell ref="B64:Q64"/>
    <mergeCell ref="B65:F65"/>
    <mergeCell ref="G65:I65"/>
    <mergeCell ref="B66:F66"/>
    <mergeCell ref="G66:Q66"/>
    <mergeCell ref="B67:Q67"/>
    <mergeCell ref="E62:F62"/>
    <mergeCell ref="G62:I62"/>
    <mergeCell ref="J62:L62"/>
    <mergeCell ref="M62:Q62"/>
    <mergeCell ref="E63:F63"/>
    <mergeCell ref="G63:I63"/>
    <mergeCell ref="J63:L63"/>
    <mergeCell ref="M63:Q63"/>
    <mergeCell ref="E60:F60"/>
    <mergeCell ref="G60:I60"/>
    <mergeCell ref="J60:L60"/>
    <mergeCell ref="M60:Q60"/>
    <mergeCell ref="E61:F61"/>
    <mergeCell ref="G61:I61"/>
    <mergeCell ref="J61:L61"/>
    <mergeCell ref="M61:Q61"/>
    <mergeCell ref="E58:F58"/>
    <mergeCell ref="G58:I58"/>
    <mergeCell ref="J58:L58"/>
    <mergeCell ref="M58:Q58"/>
    <mergeCell ref="E59:F59"/>
    <mergeCell ref="G59:I59"/>
    <mergeCell ref="J59:L59"/>
    <mergeCell ref="M59:Q59"/>
    <mergeCell ref="E56:F56"/>
    <mergeCell ref="G56:I56"/>
    <mergeCell ref="J56:L56"/>
    <mergeCell ref="M56:Q56"/>
    <mergeCell ref="E57:F57"/>
    <mergeCell ref="G57:I57"/>
    <mergeCell ref="J57:L57"/>
    <mergeCell ref="M57:Q57"/>
    <mergeCell ref="E54:F54"/>
    <mergeCell ref="G54:I54"/>
    <mergeCell ref="J54:L54"/>
    <mergeCell ref="M54:Q54"/>
    <mergeCell ref="E55:F55"/>
    <mergeCell ref="G55:I55"/>
    <mergeCell ref="J55:L55"/>
    <mergeCell ref="M55:Q55"/>
    <mergeCell ref="E52:F52"/>
    <mergeCell ref="G52:I52"/>
    <mergeCell ref="J52:L52"/>
    <mergeCell ref="M52:Q52"/>
    <mergeCell ref="E53:F53"/>
    <mergeCell ref="G53:I53"/>
    <mergeCell ref="J53:L53"/>
    <mergeCell ref="M53:Q53"/>
    <mergeCell ref="B47:Q48"/>
    <mergeCell ref="E50:F50"/>
    <mergeCell ref="G50:I50"/>
    <mergeCell ref="J50:L50"/>
    <mergeCell ref="M50:Q50"/>
    <mergeCell ref="E51:F51"/>
    <mergeCell ref="G51:I51"/>
    <mergeCell ref="J51:L51"/>
    <mergeCell ref="M51:Q51"/>
    <mergeCell ref="B41:Q41"/>
    <mergeCell ref="B43:E43"/>
    <mergeCell ref="F43:Q43"/>
    <mergeCell ref="B45:Q45"/>
    <mergeCell ref="B37:F37"/>
    <mergeCell ref="G37:I37"/>
    <mergeCell ref="B38:F38"/>
    <mergeCell ref="G38:I38"/>
    <mergeCell ref="B39:F39"/>
    <mergeCell ref="G39:I39"/>
    <mergeCell ref="B32:D32"/>
    <mergeCell ref="E32:G32"/>
    <mergeCell ref="H32:J32"/>
    <mergeCell ref="B33:D33"/>
    <mergeCell ref="E33:G33"/>
    <mergeCell ref="H33:J33"/>
    <mergeCell ref="B35:J35"/>
    <mergeCell ref="B40:F40"/>
    <mergeCell ref="G40:Q40"/>
    <mergeCell ref="B31:D31"/>
    <mergeCell ref="E31:G31"/>
    <mergeCell ref="H31:J31"/>
    <mergeCell ref="B28:D28"/>
    <mergeCell ref="E28:G28"/>
    <mergeCell ref="H28:J28"/>
    <mergeCell ref="B29:D29"/>
    <mergeCell ref="E29:G29"/>
    <mergeCell ref="H29:J29"/>
    <mergeCell ref="B23:D23"/>
    <mergeCell ref="E23:G23"/>
    <mergeCell ref="H23:J23"/>
    <mergeCell ref="B26:D26"/>
    <mergeCell ref="E26:G26"/>
    <mergeCell ref="H26:J26"/>
    <mergeCell ref="K29:R29"/>
    <mergeCell ref="B30:D30"/>
    <mergeCell ref="E30:G30"/>
    <mergeCell ref="H30:J30"/>
    <mergeCell ref="K30:Q30"/>
    <mergeCell ref="B27:D27"/>
    <mergeCell ref="H27:J27"/>
    <mergeCell ref="E27:G27"/>
    <mergeCell ref="B4:Q7"/>
    <mergeCell ref="B196:D196"/>
    <mergeCell ref="E196:I196"/>
    <mergeCell ref="E197:I197"/>
    <mergeCell ref="A1:Q1"/>
    <mergeCell ref="A9:Q9"/>
    <mergeCell ref="A10:A70"/>
    <mergeCell ref="B13:Q13"/>
    <mergeCell ref="B15:Q16"/>
    <mergeCell ref="E20:G20"/>
    <mergeCell ref="H20:J20"/>
    <mergeCell ref="B21:D21"/>
    <mergeCell ref="E21:G21"/>
    <mergeCell ref="H21:J21"/>
    <mergeCell ref="B24:D24"/>
    <mergeCell ref="E24:G24"/>
    <mergeCell ref="H24:J24"/>
    <mergeCell ref="B25:D25"/>
    <mergeCell ref="E25:G25"/>
    <mergeCell ref="H25:J25"/>
    <mergeCell ref="B22:D22"/>
    <mergeCell ref="E22:G22"/>
    <mergeCell ref="H22:J22"/>
    <mergeCell ref="J173:J174"/>
  </mergeCells>
  <phoneticPr fontId="43" type="noConversion"/>
  <conditionalFormatting sqref="E163">
    <cfRule type="cellIs" dxfId="22" priority="26" operator="notEqual">
      <formula>#REF!</formula>
    </cfRule>
  </conditionalFormatting>
  <conditionalFormatting sqref="E194:F194">
    <cfRule type="expression" dxfId="21" priority="27">
      <formula>$E$194&gt;#REF!</formula>
    </cfRule>
  </conditionalFormatting>
  <conditionalFormatting sqref="E29:J29">
    <cfRule type="expression" dxfId="20" priority="28">
      <formula>#REF!&lt;&gt;#REF!</formula>
    </cfRule>
  </conditionalFormatting>
  <conditionalFormatting sqref="F163:G163">
    <cfRule type="cellIs" dxfId="19" priority="11" operator="greaterThan">
      <formula>$E$133</formula>
    </cfRule>
  </conditionalFormatting>
  <conditionalFormatting sqref="I194">
    <cfRule type="cellIs" dxfId="18" priority="10" operator="greaterThan">
      <formula>$E$133</formula>
    </cfRule>
  </conditionalFormatting>
  <hyperlinks>
    <hyperlink ref="I81" location="RIZIV" display="bijlage RIZIV-derde luik" xr:uid="{00000000-0004-0000-0100-000003000000}"/>
    <hyperlink ref="K122" location="supplement" display="bijlage supplement" xr:uid="{00000000-0004-0000-0100-000004000000}"/>
    <hyperlink ref="B2" location="generiek" display="Klik hier indien terug naar generieke input" xr:uid="{A8F4FD07-EFA6-4C07-B260-B63F9CBDD77F}"/>
    <hyperlink ref="F173:F174" location="uitleg_clausule" display="uitleg_clausule" xr:uid="{FF4F6BF8-9158-4713-BCE0-21DADDA3ADF9}"/>
  </hyperlinks>
  <pageMargins left="0.70866141732283472" right="0.70866141732283472" top="0.98425196850393704" bottom="0.98425196850393704" header="0.31496062992125984" footer="0.31496062992125984"/>
  <pageSetup scale="11" fitToHeight="0" orientation="portrait" r:id="rId1"/>
  <headerFooter>
    <oddHeader>&amp;L&amp;G&amp;R&amp;"-,Bold"&amp;K03+000/&amp;"-,Regular"&amp;K01+000 &amp;"-,Bold"&amp;K03+000cijfergegevens</oddHeader>
    <oddFooter>&amp;L&amp;G&amp;R&amp;"-,Bold"&amp;K03+000www.zorg-en-gezondheid.be</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E183A-A541-450E-9491-04563FDCE1D9}">
  <sheetPr codeName="Blad8">
    <tabColor rgb="FF92D050"/>
    <pageSetUpPr fitToPage="1"/>
  </sheetPr>
  <dimension ref="A1:Z192"/>
  <sheetViews>
    <sheetView topLeftCell="A168" zoomScaleNormal="100" workbookViewId="0">
      <selection activeCell="B190" sqref="B190"/>
    </sheetView>
  </sheetViews>
  <sheetFormatPr defaultColWidth="9.109375" defaultRowHeight="14.4" x14ac:dyDescent="0.3"/>
  <cols>
    <col min="1" max="1" width="3.6640625" customWidth="1"/>
    <col min="2" max="2" width="22.6640625" customWidth="1"/>
    <col min="3" max="3" width="18.109375" customWidth="1"/>
    <col min="4" max="4" width="29.6640625" customWidth="1"/>
    <col min="5" max="5" width="19" customWidth="1"/>
    <col min="6" max="6" width="30.44140625" customWidth="1"/>
    <col min="7" max="7" width="26.44140625" customWidth="1"/>
    <col min="8" max="8" width="17.88671875" customWidth="1"/>
    <col min="9" max="9" width="17.5546875" customWidth="1"/>
    <col min="10" max="10" width="15.88671875" customWidth="1"/>
    <col min="11" max="12" width="25.33203125" customWidth="1"/>
    <col min="13" max="13" width="18.6640625" customWidth="1"/>
    <col min="14" max="14" width="56.88671875" customWidth="1"/>
    <col min="15" max="15" width="19.33203125" customWidth="1"/>
    <col min="16" max="16" width="2.33203125" bestFit="1" customWidth="1"/>
    <col min="17" max="17" width="24.109375" customWidth="1"/>
    <col min="18" max="18" width="29.5546875" customWidth="1"/>
    <col min="19" max="19" width="26.88671875" customWidth="1"/>
    <col min="20" max="20" width="21.5546875" customWidth="1"/>
    <col min="21" max="21" width="23.88671875" customWidth="1"/>
    <col min="22" max="22" width="59" customWidth="1"/>
    <col min="23" max="23" width="60.5546875" customWidth="1"/>
    <col min="24" max="24" width="49.44140625" customWidth="1"/>
    <col min="25" max="25" width="12.44140625" customWidth="1"/>
    <col min="26" max="26" width="37.33203125" customWidth="1"/>
    <col min="27" max="27" width="35.109375" customWidth="1"/>
    <col min="28" max="28" width="30.44140625" customWidth="1"/>
    <col min="29" max="29" width="5.6640625" customWidth="1"/>
    <col min="30" max="30" width="8" customWidth="1"/>
    <col min="31" max="31" width="8.6640625" bestFit="1" customWidth="1"/>
    <col min="32" max="32" width="25.88671875" customWidth="1"/>
    <col min="33" max="33" width="19.44140625" customWidth="1"/>
    <col min="34" max="34" width="9.44140625" customWidth="1"/>
    <col min="35" max="35" width="14.109375" customWidth="1"/>
    <col min="36" max="36" width="3.33203125" bestFit="1" customWidth="1"/>
  </cols>
  <sheetData>
    <row r="1" spans="1:17" s="2" customFormat="1" ht="32.25" customHeight="1" x14ac:dyDescent="0.6">
      <c r="A1" s="643" t="s">
        <v>1582</v>
      </c>
      <c r="B1" s="644"/>
      <c r="C1" s="644"/>
      <c r="D1" s="644"/>
      <c r="E1" s="644"/>
      <c r="F1" s="644"/>
      <c r="G1" s="644"/>
      <c r="H1" s="644"/>
      <c r="I1" s="644"/>
      <c r="J1" s="644"/>
      <c r="K1" s="644"/>
      <c r="L1" s="644"/>
      <c r="M1" s="644"/>
      <c r="N1" s="644"/>
      <c r="O1" s="644"/>
      <c r="P1" s="644"/>
      <c r="Q1" s="644"/>
    </row>
    <row r="2" spans="1:17" ht="18" x14ac:dyDescent="0.35">
      <c r="A2" s="73"/>
      <c r="B2" s="149" t="s">
        <v>1126</v>
      </c>
      <c r="C2" s="73"/>
      <c r="D2" s="73"/>
      <c r="E2" s="73"/>
      <c r="F2" s="73"/>
      <c r="G2" s="73"/>
      <c r="H2" s="73"/>
      <c r="I2" s="73"/>
      <c r="J2" s="73"/>
      <c r="K2" s="73"/>
      <c r="L2" s="73"/>
      <c r="M2" s="73"/>
      <c r="N2" s="73"/>
      <c r="O2" s="73"/>
      <c r="P2" s="73"/>
      <c r="Q2" s="73"/>
    </row>
    <row r="3" spans="1:17" ht="18.600000000000001" thickBot="1" x14ac:dyDescent="0.4">
      <c r="A3" s="73"/>
      <c r="B3" s="257" t="s">
        <v>1692</v>
      </c>
      <c r="C3" s="272"/>
      <c r="D3" s="272"/>
      <c r="E3" s="73"/>
      <c r="F3" s="73"/>
      <c r="G3" s="73"/>
      <c r="H3" s="73"/>
      <c r="I3" s="73"/>
      <c r="J3" s="73"/>
      <c r="K3" s="73"/>
      <c r="L3" s="73"/>
      <c r="M3" s="73"/>
      <c r="N3" s="73"/>
      <c r="O3" s="73"/>
      <c r="P3" s="73"/>
      <c r="Q3" s="73"/>
    </row>
    <row r="4" spans="1:17" ht="18" x14ac:dyDescent="0.35">
      <c r="A4" s="73"/>
      <c r="B4" s="629" t="s">
        <v>1664</v>
      </c>
      <c r="C4" s="630"/>
      <c r="D4" s="630"/>
      <c r="E4" s="630"/>
      <c r="F4" s="630"/>
      <c r="G4" s="630"/>
      <c r="H4" s="630"/>
      <c r="I4" s="630"/>
      <c r="J4" s="630"/>
      <c r="K4" s="630"/>
      <c r="L4" s="630"/>
      <c r="M4" s="630"/>
      <c r="N4" s="630"/>
      <c r="O4" s="630"/>
      <c r="P4" s="630"/>
      <c r="Q4" s="631"/>
    </row>
    <row r="5" spans="1:17" ht="18" x14ac:dyDescent="0.35">
      <c r="A5" s="73"/>
      <c r="B5" s="632"/>
      <c r="C5" s="633"/>
      <c r="D5" s="633"/>
      <c r="E5" s="633"/>
      <c r="F5" s="633"/>
      <c r="G5" s="633"/>
      <c r="H5" s="633"/>
      <c r="I5" s="633"/>
      <c r="J5" s="633"/>
      <c r="K5" s="633"/>
      <c r="L5" s="633"/>
      <c r="M5" s="633"/>
      <c r="N5" s="633"/>
      <c r="O5" s="633"/>
      <c r="P5" s="633"/>
      <c r="Q5" s="634"/>
    </row>
    <row r="6" spans="1:17" ht="18" x14ac:dyDescent="0.35">
      <c r="A6" s="73"/>
      <c r="B6" s="632"/>
      <c r="C6" s="633"/>
      <c r="D6" s="633"/>
      <c r="E6" s="633"/>
      <c r="F6" s="633"/>
      <c r="G6" s="633"/>
      <c r="H6" s="633"/>
      <c r="I6" s="633"/>
      <c r="J6" s="633"/>
      <c r="K6" s="633"/>
      <c r="L6" s="633"/>
      <c r="M6" s="633"/>
      <c r="N6" s="633"/>
      <c r="O6" s="633"/>
      <c r="P6" s="633"/>
      <c r="Q6" s="634"/>
    </row>
    <row r="7" spans="1:17" ht="21.6" thickBot="1" x14ac:dyDescent="0.45">
      <c r="A7" s="156"/>
      <c r="B7" s="635"/>
      <c r="C7" s="636"/>
      <c r="D7" s="636"/>
      <c r="E7" s="636"/>
      <c r="F7" s="636"/>
      <c r="G7" s="636"/>
      <c r="H7" s="636"/>
      <c r="I7" s="636"/>
      <c r="J7" s="636"/>
      <c r="K7" s="636"/>
      <c r="L7" s="636"/>
      <c r="M7" s="636"/>
      <c r="N7" s="636"/>
      <c r="O7" s="636"/>
      <c r="P7" s="636"/>
      <c r="Q7" s="637"/>
    </row>
    <row r="8" spans="1:17" ht="18" x14ac:dyDescent="0.35">
      <c r="A8" s="67"/>
      <c r="B8" s="67"/>
      <c r="C8" s="67"/>
      <c r="D8" s="67"/>
      <c r="E8" s="67"/>
      <c r="F8" s="67"/>
      <c r="G8" s="67"/>
      <c r="H8" s="67"/>
      <c r="I8" s="67"/>
      <c r="J8" s="67"/>
      <c r="K8" s="67"/>
      <c r="L8" s="67"/>
      <c r="M8" s="67"/>
      <c r="N8" s="67"/>
      <c r="O8" s="67"/>
      <c r="P8" s="67"/>
      <c r="Q8" s="67"/>
    </row>
    <row r="9" spans="1:17" x14ac:dyDescent="0.3">
      <c r="A9" s="645" t="s">
        <v>1127</v>
      </c>
      <c r="B9" s="646"/>
      <c r="C9" s="646"/>
      <c r="D9" s="646"/>
      <c r="E9" s="646"/>
      <c r="F9" s="646"/>
      <c r="G9" s="646"/>
      <c r="H9" s="646"/>
      <c r="I9" s="646"/>
      <c r="J9" s="646"/>
      <c r="K9" s="646"/>
      <c r="L9" s="646"/>
      <c r="M9" s="646"/>
      <c r="N9" s="646"/>
      <c r="O9" s="646"/>
      <c r="P9" s="646"/>
      <c r="Q9" s="646"/>
    </row>
    <row r="10" spans="1:17" ht="15" thickBot="1" x14ac:dyDescent="0.35">
      <c r="A10" s="647"/>
      <c r="B10" s="26"/>
      <c r="C10" s="26"/>
      <c r="D10" s="26"/>
      <c r="E10" s="26"/>
      <c r="F10" s="26"/>
      <c r="G10" s="26"/>
      <c r="H10" s="26"/>
      <c r="I10" s="26"/>
      <c r="J10" s="26"/>
      <c r="K10" s="26"/>
      <c r="L10" s="26"/>
      <c r="M10" s="26"/>
      <c r="N10" s="26"/>
      <c r="O10" s="26"/>
      <c r="P10" s="26"/>
      <c r="Q10" s="26"/>
    </row>
    <row r="11" spans="1:17" ht="15" thickBot="1" x14ac:dyDescent="0.35">
      <c r="A11" s="648"/>
      <c r="B11" s="26" t="s">
        <v>1325</v>
      </c>
      <c r="C11" s="26"/>
      <c r="D11" s="26"/>
      <c r="E11" s="62">
        <f>IFERROR(infrakost_verblijfsdag_werken+G51+G77+G118,0)</f>
        <v>0</v>
      </c>
      <c r="F11" s="40" t="s">
        <v>1141</v>
      </c>
      <c r="G11" s="26"/>
      <c r="H11" s="26"/>
      <c r="I11" s="26"/>
      <c r="J11" s="26"/>
      <c r="K11" s="26"/>
      <c r="L11" s="26"/>
      <c r="M11" s="26"/>
      <c r="N11" s="26"/>
      <c r="O11" s="26"/>
      <c r="P11" s="26"/>
      <c r="Q11" s="26"/>
    </row>
    <row r="12" spans="1:17" x14ac:dyDescent="0.3">
      <c r="A12" s="648"/>
      <c r="D12" s="1"/>
    </row>
    <row r="13" spans="1:17" x14ac:dyDescent="0.3">
      <c r="A13" s="648"/>
      <c r="B13" s="649" t="s">
        <v>1326</v>
      </c>
      <c r="C13" s="650"/>
      <c r="D13" s="650"/>
      <c r="E13" s="650"/>
      <c r="F13" s="650"/>
      <c r="G13" s="650"/>
      <c r="H13" s="650"/>
      <c r="I13" s="650"/>
      <c r="J13" s="650"/>
      <c r="K13" s="650"/>
      <c r="L13" s="650"/>
      <c r="M13" s="650"/>
      <c r="N13" s="650"/>
      <c r="O13" s="650"/>
      <c r="P13" s="650"/>
      <c r="Q13" s="650"/>
    </row>
    <row r="14" spans="1:17" ht="15" thickBot="1" x14ac:dyDescent="0.35">
      <c r="A14" s="648"/>
      <c r="B14" s="10"/>
    </row>
    <row r="15" spans="1:17" x14ac:dyDescent="0.3">
      <c r="A15" s="648"/>
      <c r="B15" s="651" t="s">
        <v>1327</v>
      </c>
      <c r="C15" s="652"/>
      <c r="D15" s="652"/>
      <c r="E15" s="652"/>
      <c r="F15" s="652"/>
      <c r="G15" s="652"/>
      <c r="H15" s="652"/>
      <c r="I15" s="652"/>
      <c r="J15" s="652"/>
      <c r="K15" s="652"/>
      <c r="L15" s="652"/>
      <c r="M15" s="652"/>
      <c r="N15" s="652"/>
      <c r="O15" s="652"/>
      <c r="P15" s="652"/>
      <c r="Q15" s="653"/>
    </row>
    <row r="16" spans="1:17" ht="33.6" customHeight="1" thickBot="1" x14ac:dyDescent="0.35">
      <c r="A16" s="648"/>
      <c r="B16" s="654"/>
      <c r="C16" s="655"/>
      <c r="D16" s="655"/>
      <c r="E16" s="655"/>
      <c r="F16" s="655"/>
      <c r="G16" s="655"/>
      <c r="H16" s="655"/>
      <c r="I16" s="655"/>
      <c r="J16" s="655"/>
      <c r="K16" s="655"/>
      <c r="L16" s="655"/>
      <c r="M16" s="655"/>
      <c r="N16" s="655"/>
      <c r="O16" s="655"/>
      <c r="P16" s="655"/>
      <c r="Q16" s="656"/>
    </row>
    <row r="17" spans="1:19" x14ac:dyDescent="0.3">
      <c r="A17" s="648"/>
      <c r="B17" s="8"/>
      <c r="E17" s="22"/>
      <c r="F17" s="9"/>
      <c r="G17" s="9"/>
    </row>
    <row r="18" spans="1:19" x14ac:dyDescent="0.3">
      <c r="A18" s="648"/>
      <c r="B18" s="5"/>
      <c r="P18" s="13"/>
    </row>
    <row r="19" spans="1:19" x14ac:dyDescent="0.3">
      <c r="A19" s="648"/>
      <c r="B19" s="14"/>
      <c r="C19" s="14"/>
      <c r="D19" s="15"/>
      <c r="E19" s="657" t="s">
        <v>1328</v>
      </c>
      <c r="F19" s="658"/>
      <c r="G19" s="659"/>
      <c r="H19" s="4"/>
      <c r="I19" s="4"/>
      <c r="J19" s="4"/>
      <c r="K19" s="4"/>
      <c r="L19" s="4"/>
      <c r="M19" s="4"/>
    </row>
    <row r="20" spans="1:19" x14ac:dyDescent="0.3">
      <c r="A20" s="648"/>
      <c r="B20" s="660" t="s">
        <v>1329</v>
      </c>
      <c r="C20" s="661"/>
      <c r="D20" s="662"/>
      <c r="E20" s="860">
        <v>0</v>
      </c>
      <c r="F20" s="861"/>
      <c r="G20" s="862"/>
      <c r="H20" s="9" t="s">
        <v>1330</v>
      </c>
      <c r="I20" s="4"/>
      <c r="J20" s="5"/>
      <c r="K20" s="5" t="s">
        <v>1331</v>
      </c>
      <c r="L20" s="5"/>
      <c r="M20" s="5"/>
      <c r="N20" s="63"/>
      <c r="O20" s="1"/>
    </row>
    <row r="21" spans="1:19" x14ac:dyDescent="0.3">
      <c r="A21" s="648"/>
      <c r="B21" s="660" t="s">
        <v>1332</v>
      </c>
      <c r="C21" s="661"/>
      <c r="D21" s="662"/>
      <c r="E21" s="663"/>
      <c r="F21" s="664"/>
      <c r="G21" s="665"/>
      <c r="H21" s="9" t="s">
        <v>1333</v>
      </c>
      <c r="I21" s="4"/>
      <c r="J21" s="5"/>
      <c r="K21" s="5" t="s">
        <v>1331</v>
      </c>
      <c r="L21" s="5"/>
      <c r="M21" s="5"/>
      <c r="N21" s="63"/>
      <c r="O21" s="1"/>
    </row>
    <row r="22" spans="1:19" x14ac:dyDescent="0.3">
      <c r="A22" s="648"/>
      <c r="B22" s="660" t="s">
        <v>1334</v>
      </c>
      <c r="C22" s="661"/>
      <c r="D22" s="662"/>
      <c r="E22" s="663"/>
      <c r="F22" s="664"/>
      <c r="G22" s="665"/>
      <c r="H22" s="9" t="s">
        <v>1335</v>
      </c>
      <c r="I22" s="4"/>
      <c r="J22" s="5"/>
      <c r="K22" s="5" t="s">
        <v>1331</v>
      </c>
      <c r="L22" s="5"/>
      <c r="M22" s="5"/>
      <c r="N22" s="63"/>
      <c r="O22" s="1"/>
    </row>
    <row r="23" spans="1:19" x14ac:dyDescent="0.3">
      <c r="A23" s="648"/>
      <c r="B23" s="698" t="s">
        <v>1336</v>
      </c>
      <c r="C23" s="699"/>
      <c r="D23" s="700"/>
      <c r="E23" s="669">
        <f>E20+E21+E22</f>
        <v>0</v>
      </c>
      <c r="F23" s="670"/>
      <c r="G23" s="671"/>
      <c r="H23" s="9" t="s">
        <v>1337</v>
      </c>
      <c r="I23" s="4"/>
      <c r="J23" s="5"/>
      <c r="K23" s="5"/>
      <c r="L23" s="5"/>
      <c r="M23" s="5"/>
      <c r="N23" s="63"/>
      <c r="O23" s="1"/>
    </row>
    <row r="24" spans="1:19" ht="42.75" customHeight="1" x14ac:dyDescent="0.3">
      <c r="A24" s="648"/>
      <c r="B24" s="701" t="s">
        <v>1338</v>
      </c>
      <c r="C24" s="702"/>
      <c r="D24" s="703"/>
      <c r="E24" s="681">
        <f>'Generieke input'!G36</f>
        <v>0</v>
      </c>
      <c r="F24" s="682"/>
      <c r="G24" s="683"/>
      <c r="H24" s="678" t="s">
        <v>1767</v>
      </c>
      <c r="I24" s="679"/>
      <c r="J24" s="679"/>
      <c r="K24" s="679"/>
      <c r="L24" s="679"/>
      <c r="M24" s="679"/>
      <c r="N24" s="679"/>
      <c r="O24" s="680"/>
    </row>
    <row r="25" spans="1:19" x14ac:dyDescent="0.3">
      <c r="A25" s="648"/>
      <c r="B25" s="701" t="s">
        <v>1150</v>
      </c>
      <c r="C25" s="702"/>
      <c r="D25" s="703"/>
      <c r="E25" s="695">
        <f>IF('Generieke input'!V36=4,250,365)</f>
        <v>365</v>
      </c>
      <c r="F25" s="696"/>
      <c r="G25" s="697"/>
      <c r="H25" s="9" t="s">
        <v>1339</v>
      </c>
      <c r="I25" s="65"/>
      <c r="J25" s="65"/>
      <c r="K25" s="65"/>
      <c r="L25" s="65"/>
      <c r="M25" s="65"/>
      <c r="N25" s="1"/>
      <c r="O25" s="1"/>
    </row>
    <row r="26" spans="1:19" x14ac:dyDescent="0.3">
      <c r="A26" s="648"/>
      <c r="B26" s="701" t="s">
        <v>1152</v>
      </c>
      <c r="C26" s="702"/>
      <c r="D26" s="703"/>
      <c r="E26" s="863">
        <f>'Generieke input'!AA47</f>
        <v>0</v>
      </c>
      <c r="F26" s="864"/>
      <c r="G26" s="865"/>
      <c r="H26" s="9" t="s">
        <v>1768</v>
      </c>
      <c r="I26" s="11"/>
      <c r="J26" s="11"/>
      <c r="K26" s="11"/>
      <c r="L26" s="11"/>
      <c r="M26" s="11"/>
      <c r="N26" s="11"/>
      <c r="O26" s="1"/>
    </row>
    <row r="27" spans="1:19" x14ac:dyDescent="0.3">
      <c r="A27" s="648"/>
      <c r="B27" s="698" t="s">
        <v>1340</v>
      </c>
      <c r="C27" s="699"/>
      <c r="D27" s="700"/>
      <c r="E27" s="707" t="e">
        <f>E23/PRODUCT(E24:G26)</f>
        <v>#DIV/0!</v>
      </c>
      <c r="F27" s="708"/>
      <c r="G27" s="709"/>
      <c r="H27" s="49"/>
      <c r="I27" s="50"/>
      <c r="J27" s="50"/>
      <c r="K27" s="50"/>
      <c r="L27" s="50"/>
      <c r="M27" s="50"/>
    </row>
    <row r="28" spans="1:19" ht="31.95" customHeight="1" x14ac:dyDescent="0.3">
      <c r="A28" s="648"/>
      <c r="B28" s="12"/>
      <c r="C28" s="12"/>
      <c r="D28" s="12"/>
      <c r="E28" s="12"/>
      <c r="F28" s="12"/>
      <c r="G28" s="12"/>
      <c r="H28" s="6"/>
      <c r="I28" s="6"/>
      <c r="J28" s="6"/>
      <c r="K28" s="6"/>
      <c r="L28" s="6"/>
      <c r="M28" s="6"/>
    </row>
    <row r="29" spans="1:19" ht="47.25" customHeight="1" x14ac:dyDescent="0.3">
      <c r="A29" s="648"/>
      <c r="B29" s="717" t="s">
        <v>1161</v>
      </c>
      <c r="C29" s="718"/>
      <c r="D29" s="718"/>
      <c r="E29" s="719"/>
      <c r="F29" s="866" t="s">
        <v>1699</v>
      </c>
      <c r="G29" s="867"/>
      <c r="H29" s="867"/>
      <c r="I29" s="867"/>
      <c r="J29" s="867"/>
      <c r="K29" s="867"/>
      <c r="L29" s="867"/>
      <c r="M29" s="867"/>
      <c r="N29" s="867"/>
      <c r="O29" s="867"/>
      <c r="P29" s="867"/>
      <c r="Q29" s="868"/>
    </row>
    <row r="30" spans="1:19" x14ac:dyDescent="0.3">
      <c r="A30" s="648"/>
      <c r="B30" s="17"/>
      <c r="C30" s="17"/>
      <c r="D30" s="17"/>
      <c r="E30" s="17"/>
      <c r="F30" s="7"/>
      <c r="G30" s="7"/>
      <c r="H30" s="7"/>
      <c r="I30" s="7"/>
      <c r="J30" s="7"/>
      <c r="K30" s="7"/>
      <c r="L30" s="7"/>
      <c r="M30" s="7"/>
      <c r="N30" s="7"/>
      <c r="O30" s="7"/>
      <c r="P30" s="7"/>
      <c r="Q30" s="7"/>
    </row>
    <row r="31" spans="1:19" x14ac:dyDescent="0.3">
      <c r="A31" s="648"/>
      <c r="B31" s="649" t="s">
        <v>1341</v>
      </c>
      <c r="C31" s="650"/>
      <c r="D31" s="650"/>
      <c r="E31" s="650"/>
      <c r="F31" s="650"/>
      <c r="G31" s="650"/>
      <c r="H31" s="650"/>
      <c r="I31" s="650"/>
      <c r="J31" s="650"/>
      <c r="K31" s="650"/>
      <c r="L31" s="650"/>
      <c r="M31" s="650"/>
      <c r="N31" s="650"/>
      <c r="O31" s="650"/>
      <c r="P31" s="650"/>
      <c r="Q31" s="650"/>
      <c r="S31" s="2"/>
    </row>
    <row r="32" spans="1:19" x14ac:dyDescent="0.3">
      <c r="A32" s="648"/>
      <c r="B32" s="77"/>
      <c r="C32" s="77"/>
      <c r="D32" s="77"/>
      <c r="E32" s="77"/>
      <c r="F32" s="77"/>
      <c r="G32" s="77"/>
      <c r="H32" s="77"/>
      <c r="I32" s="77"/>
      <c r="J32" s="77"/>
      <c r="K32" s="77"/>
      <c r="L32" s="77"/>
      <c r="M32" s="77"/>
      <c r="N32" s="77"/>
      <c r="O32" s="77"/>
      <c r="P32" s="77"/>
      <c r="Q32" s="77"/>
      <c r="S32" s="2"/>
    </row>
    <row r="33" spans="1:23" x14ac:dyDescent="0.3">
      <c r="A33" s="648"/>
      <c r="B33" s="727" t="s">
        <v>1760</v>
      </c>
      <c r="C33" s="728"/>
      <c r="D33" s="728"/>
      <c r="E33" s="728"/>
      <c r="F33" s="728"/>
      <c r="G33" s="728"/>
      <c r="H33" s="728"/>
      <c r="I33" s="728"/>
      <c r="J33" s="728"/>
      <c r="K33" s="728"/>
      <c r="L33" s="728"/>
      <c r="M33" s="728"/>
      <c r="N33" s="728"/>
      <c r="O33" s="728"/>
      <c r="P33" s="728"/>
      <c r="Q33" s="729"/>
      <c r="S33" s="2"/>
    </row>
    <row r="34" spans="1:23" ht="83.1" customHeight="1" x14ac:dyDescent="0.3">
      <c r="A34" s="648"/>
      <c r="B34" s="730"/>
      <c r="C34" s="731"/>
      <c r="D34" s="731"/>
      <c r="E34" s="731"/>
      <c r="F34" s="731"/>
      <c r="G34" s="731"/>
      <c r="H34" s="731"/>
      <c r="I34" s="731"/>
      <c r="J34" s="731"/>
      <c r="K34" s="731"/>
      <c r="L34" s="731"/>
      <c r="M34" s="731"/>
      <c r="N34" s="731"/>
      <c r="O34" s="731"/>
      <c r="P34" s="731"/>
      <c r="Q34" s="732"/>
      <c r="S34" s="2"/>
    </row>
    <row r="35" spans="1:23" s="9" customFormat="1" ht="15" thickBot="1" x14ac:dyDescent="0.35">
      <c r="A35" s="648"/>
      <c r="B35" s="90"/>
      <c r="C35" s="88"/>
      <c r="D35" s="88"/>
      <c r="E35" s="88"/>
      <c r="F35" s="88"/>
      <c r="G35" s="88"/>
      <c r="H35" s="88"/>
      <c r="I35" s="88"/>
      <c r="J35" s="88"/>
      <c r="K35" s="88"/>
      <c r="L35" s="88"/>
      <c r="M35" s="88"/>
      <c r="N35" s="88"/>
      <c r="O35" s="88"/>
      <c r="P35" s="88"/>
      <c r="Q35" s="88"/>
    </row>
    <row r="36" spans="1:23" ht="15" thickBot="1" x14ac:dyDescent="0.35">
      <c r="A36" s="648"/>
      <c r="B36" s="27"/>
      <c r="C36" s="28"/>
      <c r="D36" s="28"/>
      <c r="E36" s="388" t="s">
        <v>1163</v>
      </c>
      <c r="F36" s="388" t="s">
        <v>1164</v>
      </c>
      <c r="G36" s="388" t="s">
        <v>1165</v>
      </c>
      <c r="H36" s="388" t="s">
        <v>1166</v>
      </c>
      <c r="I36" s="388" t="s">
        <v>1295</v>
      </c>
      <c r="J36" s="389" t="s">
        <v>1299</v>
      </c>
      <c r="K36" s="390" t="s">
        <v>1302</v>
      </c>
      <c r="L36" s="391" t="s">
        <v>1304</v>
      </c>
      <c r="M36" s="390" t="s">
        <v>1307</v>
      </c>
      <c r="N36" s="392" t="s">
        <v>1310</v>
      </c>
      <c r="O36" s="119"/>
      <c r="P36" s="119"/>
      <c r="Q36" s="119"/>
      <c r="R36" s="2" t="s">
        <v>1713</v>
      </c>
      <c r="S36" s="2"/>
    </row>
    <row r="37" spans="1:23" x14ac:dyDescent="0.3">
      <c r="A37" s="648"/>
      <c r="B37" s="29" t="s">
        <v>1167</v>
      </c>
      <c r="C37" s="30"/>
      <c r="D37" s="30"/>
      <c r="E37" s="273"/>
      <c r="F37" s="274"/>
      <c r="G37" s="275">
        <v>0</v>
      </c>
      <c r="H37" s="275">
        <v>0</v>
      </c>
      <c r="I37" s="274"/>
      <c r="J37" s="276"/>
      <c r="K37" s="277"/>
      <c r="L37" s="275"/>
      <c r="M37" s="274"/>
      <c r="N37" s="278"/>
      <c r="O37" s="120"/>
      <c r="P37" s="120"/>
      <c r="Q37" s="120"/>
      <c r="R37" s="2" t="s">
        <v>33</v>
      </c>
      <c r="S37" s="2"/>
    </row>
    <row r="38" spans="1:23" x14ac:dyDescent="0.3">
      <c r="A38" s="648"/>
      <c r="B38" s="31" t="s">
        <v>1168</v>
      </c>
      <c r="C38" s="32"/>
      <c r="D38" s="32"/>
      <c r="E38" s="279"/>
      <c r="F38" s="280"/>
      <c r="G38" s="280"/>
      <c r="H38" s="280"/>
      <c r="I38" s="280"/>
      <c r="J38" s="281"/>
      <c r="K38" s="258"/>
      <c r="L38" s="280"/>
      <c r="M38" s="280"/>
      <c r="N38" s="281"/>
      <c r="O38" s="121"/>
      <c r="P38" s="121"/>
      <c r="Q38" s="121"/>
      <c r="R38" s="2" t="s">
        <v>33</v>
      </c>
      <c r="S38" s="2"/>
    </row>
    <row r="39" spans="1:23" x14ac:dyDescent="0.3">
      <c r="A39" s="648"/>
      <c r="B39" s="31" t="s">
        <v>1138</v>
      </c>
      <c r="C39" s="32"/>
      <c r="D39" s="32"/>
      <c r="E39" s="282"/>
      <c r="F39" s="280"/>
      <c r="G39" s="280"/>
      <c r="H39" s="280"/>
      <c r="I39" s="280"/>
      <c r="J39" s="281"/>
      <c r="K39" s="258"/>
      <c r="L39" s="280"/>
      <c r="M39" s="280"/>
      <c r="N39" s="281"/>
      <c r="O39" s="121"/>
      <c r="P39" s="121"/>
      <c r="Q39" s="121"/>
      <c r="R39" s="2" t="s">
        <v>33</v>
      </c>
      <c r="S39" s="2"/>
    </row>
    <row r="40" spans="1:23" x14ac:dyDescent="0.3">
      <c r="A40" s="648"/>
      <c r="B40" s="33" t="s">
        <v>1169</v>
      </c>
      <c r="C40" s="34"/>
      <c r="D40" s="34"/>
      <c r="E40" s="134">
        <f>E37-ABS(E38)-ABS(E39)</f>
        <v>0</v>
      </c>
      <c r="F40" s="136">
        <f>F37-ABS(F38)-ABS(F39)</f>
        <v>0</v>
      </c>
      <c r="G40" s="136">
        <f>G37-ABS(G38)-ABS(G39)</f>
        <v>0</v>
      </c>
      <c r="H40" s="136">
        <f>H37-ABS(H38)-ABS(H39)</f>
        <v>0</v>
      </c>
      <c r="I40" s="136">
        <f t="shared" ref="I40:N40" si="0">I37-ABS(I38)-ABS(I39)</f>
        <v>0</v>
      </c>
      <c r="J40" s="125">
        <f t="shared" si="0"/>
        <v>0</v>
      </c>
      <c r="K40" s="194">
        <f t="shared" si="0"/>
        <v>0</v>
      </c>
      <c r="L40" s="136">
        <f t="shared" si="0"/>
        <v>0</v>
      </c>
      <c r="M40" s="136">
        <f t="shared" si="0"/>
        <v>0</v>
      </c>
      <c r="N40" s="125">
        <f t="shared" si="0"/>
        <v>0</v>
      </c>
      <c r="O40" s="122"/>
      <c r="P40" s="122"/>
      <c r="Q40" s="122"/>
      <c r="R40" s="2" t="s">
        <v>1156</v>
      </c>
      <c r="S40" s="2"/>
    </row>
    <row r="41" spans="1:23" x14ac:dyDescent="0.3">
      <c r="A41" s="648"/>
      <c r="B41" s="31" t="s">
        <v>1142</v>
      </c>
      <c r="C41" s="32"/>
      <c r="D41" s="32"/>
      <c r="E41" s="134">
        <f>IFERROR(-PMT('Generieke input'!$D$56,E45,E40)*E45-E40,0)</f>
        <v>0</v>
      </c>
      <c r="F41" s="134">
        <f>IFERROR(-PMT('Generieke input'!$D$56,F45,F40)*F45-F40,0)</f>
        <v>0</v>
      </c>
      <c r="G41" s="134">
        <f>IFERROR(-PMT('Generieke input'!$D$56,G45,G40)*G45-G40,0)</f>
        <v>0</v>
      </c>
      <c r="H41" s="134">
        <f>IFERROR(-PMT('Generieke input'!$D$56,H45,H40)*H45-H40,0)</f>
        <v>0</v>
      </c>
      <c r="I41" s="134">
        <f>IFERROR(-PMT('Generieke input'!$D$56,I45,I40)*I45-I40,0)</f>
        <v>0</v>
      </c>
      <c r="J41" s="134">
        <f>IFERROR(-PMT('Generieke input'!$D$56,J45,J40)*J45-J40,0)</f>
        <v>0</v>
      </c>
      <c r="K41" s="134">
        <f>IFERROR(-PMT('Generieke input'!$D$56,K45,K40)*K45-K40,0)</f>
        <v>0</v>
      </c>
      <c r="L41" s="134">
        <f>IFERROR(-PMT('Generieke input'!$D$56,L45,L40)*L45-L40,0)</f>
        <v>0</v>
      </c>
      <c r="M41" s="134">
        <f>IFERROR(-PMT('Generieke input'!$D$56,M45,M40)*M45-M40,0)</f>
        <v>0</v>
      </c>
      <c r="N41" s="134">
        <f>IFERROR(-PMT('Generieke input'!$D$56,N45,N40)*N45-N40,0)</f>
        <v>0</v>
      </c>
      <c r="O41" s="123"/>
      <c r="P41" s="123"/>
      <c r="Q41" s="123"/>
      <c r="R41" s="2" t="s">
        <v>1156</v>
      </c>
      <c r="S41" s="2"/>
    </row>
    <row r="42" spans="1:23" x14ac:dyDescent="0.3">
      <c r="A42" s="648"/>
      <c r="B42" s="33" t="s">
        <v>1170</v>
      </c>
      <c r="C42" s="34"/>
      <c r="D42" s="34"/>
      <c r="E42" s="134">
        <f>E40+E41</f>
        <v>0</v>
      </c>
      <c r="F42" s="136">
        <f>F40+F41</f>
        <v>0</v>
      </c>
      <c r="G42" s="136">
        <f>G40+G41</f>
        <v>0</v>
      </c>
      <c r="H42" s="136">
        <f>H40+H41</f>
        <v>0</v>
      </c>
      <c r="I42" s="136">
        <f t="shared" ref="I42:N42" si="1">I40+I41</f>
        <v>0</v>
      </c>
      <c r="J42" s="125">
        <f t="shared" si="1"/>
        <v>0</v>
      </c>
      <c r="K42" s="194">
        <f t="shared" si="1"/>
        <v>0</v>
      </c>
      <c r="L42" s="136">
        <f t="shared" si="1"/>
        <v>0</v>
      </c>
      <c r="M42" s="136">
        <f t="shared" si="1"/>
        <v>0</v>
      </c>
      <c r="N42" s="125">
        <f t="shared" si="1"/>
        <v>0</v>
      </c>
      <c r="O42" s="122"/>
      <c r="P42" s="122"/>
      <c r="Q42" s="122"/>
      <c r="R42" s="2" t="s">
        <v>1156</v>
      </c>
      <c r="S42" s="2"/>
    </row>
    <row r="43" spans="1:23" x14ac:dyDescent="0.3">
      <c r="A43" s="648"/>
      <c r="B43" s="31" t="s">
        <v>1171</v>
      </c>
      <c r="C43" s="32"/>
      <c r="D43" s="32"/>
      <c r="E43" s="282"/>
      <c r="F43" s="280"/>
      <c r="G43" s="280"/>
      <c r="H43" s="280"/>
      <c r="I43" s="280"/>
      <c r="J43" s="281"/>
      <c r="K43" s="258"/>
      <c r="L43" s="280"/>
      <c r="M43" s="280"/>
      <c r="N43" s="281"/>
      <c r="O43" s="121"/>
      <c r="P43" s="121"/>
      <c r="Q43" s="121"/>
      <c r="R43" s="2" t="s">
        <v>33</v>
      </c>
      <c r="S43" s="2"/>
    </row>
    <row r="44" spans="1:23" x14ac:dyDescent="0.3">
      <c r="A44" s="648"/>
      <c r="B44" s="33" t="s">
        <v>1172</v>
      </c>
      <c r="C44" s="34"/>
      <c r="D44" s="34"/>
      <c r="E44" s="134">
        <f>E42-E43</f>
        <v>0</v>
      </c>
      <c r="F44" s="136">
        <f>F42-F43</f>
        <v>0</v>
      </c>
      <c r="G44" s="136">
        <f>G42-G43</f>
        <v>0</v>
      </c>
      <c r="H44" s="136">
        <f>H42-H43</f>
        <v>0</v>
      </c>
      <c r="I44" s="136">
        <f t="shared" ref="I44:N44" si="2">I42-I43</f>
        <v>0</v>
      </c>
      <c r="J44" s="125">
        <f t="shared" si="2"/>
        <v>0</v>
      </c>
      <c r="K44" s="194">
        <f t="shared" si="2"/>
        <v>0</v>
      </c>
      <c r="L44" s="136">
        <f t="shared" si="2"/>
        <v>0</v>
      </c>
      <c r="M44" s="136">
        <f t="shared" si="2"/>
        <v>0</v>
      </c>
      <c r="N44" s="125">
        <f t="shared" si="2"/>
        <v>0</v>
      </c>
      <c r="O44" s="122"/>
      <c r="P44" s="122"/>
      <c r="Q44" s="122"/>
      <c r="R44" s="2" t="s">
        <v>1156</v>
      </c>
      <c r="S44" s="2"/>
    </row>
    <row r="45" spans="1:23" x14ac:dyDescent="0.3">
      <c r="A45" s="648"/>
      <c r="B45" s="31" t="s">
        <v>1780</v>
      </c>
      <c r="C45" s="32"/>
      <c r="D45" s="32"/>
      <c r="E45" s="283"/>
      <c r="F45" s="284"/>
      <c r="G45" s="285">
        <v>5</v>
      </c>
      <c r="H45" s="285">
        <v>25</v>
      </c>
      <c r="I45" s="285"/>
      <c r="J45" s="286"/>
      <c r="K45" s="271"/>
      <c r="L45" s="285"/>
      <c r="M45" s="285"/>
      <c r="N45" s="286"/>
      <c r="O45" s="124"/>
      <c r="P45" s="124"/>
      <c r="Q45" s="124"/>
      <c r="R45" s="2" t="s">
        <v>1700</v>
      </c>
      <c r="S45" s="2"/>
      <c r="W45" s="2" t="s">
        <v>1173</v>
      </c>
    </row>
    <row r="46" spans="1:23" x14ac:dyDescent="0.3">
      <c r="A46" s="648"/>
      <c r="B46" s="31" t="str">
        <f>B24</f>
        <v>aantal plaatsen prijsaanvraag</v>
      </c>
      <c r="C46" s="32"/>
      <c r="D46" s="32"/>
      <c r="E46" s="140">
        <f>'Generieke input'!G36</f>
        <v>0</v>
      </c>
      <c r="F46" s="138">
        <f>E46</f>
        <v>0</v>
      </c>
      <c r="G46" s="137">
        <f>F46</f>
        <v>0</v>
      </c>
      <c r="H46" s="137">
        <f>G46</f>
        <v>0</v>
      </c>
      <c r="I46" s="137">
        <f t="shared" ref="I46:N47" si="3">H46</f>
        <v>0</v>
      </c>
      <c r="J46" s="126">
        <f t="shared" si="3"/>
        <v>0</v>
      </c>
      <c r="K46" s="193">
        <f t="shared" si="3"/>
        <v>0</v>
      </c>
      <c r="L46" s="137">
        <f t="shared" si="3"/>
        <v>0</v>
      </c>
      <c r="M46" s="137">
        <f t="shared" si="3"/>
        <v>0</v>
      </c>
      <c r="N46" s="126">
        <f t="shared" si="3"/>
        <v>0</v>
      </c>
      <c r="O46" s="20"/>
      <c r="P46" s="20"/>
      <c r="Q46" s="20"/>
      <c r="R46" s="9" t="s">
        <v>1701</v>
      </c>
      <c r="S46" s="2"/>
    </row>
    <row r="47" spans="1:23" x14ac:dyDescent="0.3">
      <c r="A47" s="648"/>
      <c r="B47" s="31" t="s">
        <v>1174</v>
      </c>
      <c r="C47" s="32"/>
      <c r="D47" s="32"/>
      <c r="E47" s="141">
        <f>E25</f>
        <v>365</v>
      </c>
      <c r="F47" s="139">
        <f>E47</f>
        <v>365</v>
      </c>
      <c r="G47" s="139">
        <f t="shared" ref="G47:H47" si="4">F47</f>
        <v>365</v>
      </c>
      <c r="H47" s="139">
        <f t="shared" si="4"/>
        <v>365</v>
      </c>
      <c r="I47" s="139">
        <f t="shared" si="3"/>
        <v>365</v>
      </c>
      <c r="J47" s="142">
        <f t="shared" si="3"/>
        <v>365</v>
      </c>
      <c r="K47" s="195">
        <f t="shared" si="3"/>
        <v>365</v>
      </c>
      <c r="L47" s="139">
        <f t="shared" si="3"/>
        <v>365</v>
      </c>
      <c r="M47" s="139">
        <f t="shared" si="3"/>
        <v>365</v>
      </c>
      <c r="N47" s="142">
        <f t="shared" si="3"/>
        <v>365</v>
      </c>
      <c r="O47" s="86"/>
      <c r="P47" s="86"/>
      <c r="Q47" s="86"/>
      <c r="R47" s="9" t="s">
        <v>1149</v>
      </c>
      <c r="S47" s="2"/>
    </row>
    <row r="48" spans="1:23" ht="15" thickBot="1" x14ac:dyDescent="0.35">
      <c r="A48" s="648"/>
      <c r="B48" s="31" t="s">
        <v>1152</v>
      </c>
      <c r="C48" s="32"/>
      <c r="D48" s="32"/>
      <c r="E48" s="397">
        <f>bezettingsgraad_werken</f>
        <v>0</v>
      </c>
      <c r="F48" s="398">
        <f>E48</f>
        <v>0</v>
      </c>
      <c r="G48" s="399">
        <f>F48</f>
        <v>0</v>
      </c>
      <c r="H48" s="399">
        <f>G48</f>
        <v>0</v>
      </c>
      <c r="I48" s="399">
        <f t="shared" ref="I48:N48" si="5">H48</f>
        <v>0</v>
      </c>
      <c r="J48" s="400">
        <f t="shared" si="5"/>
        <v>0</v>
      </c>
      <c r="K48" s="401">
        <f t="shared" si="5"/>
        <v>0</v>
      </c>
      <c r="L48" s="399">
        <f t="shared" si="5"/>
        <v>0</v>
      </c>
      <c r="M48" s="399">
        <f t="shared" si="5"/>
        <v>0</v>
      </c>
      <c r="N48" s="400">
        <f t="shared" si="5"/>
        <v>0</v>
      </c>
      <c r="O48" s="20"/>
      <c r="P48" s="20"/>
      <c r="Q48" s="20"/>
      <c r="R48" s="9" t="s">
        <v>1702</v>
      </c>
      <c r="S48" s="2"/>
    </row>
    <row r="49" spans="1:19" ht="15" thickBot="1" x14ac:dyDescent="0.35">
      <c r="A49" s="648"/>
      <c r="B49" s="78" t="s">
        <v>1175</v>
      </c>
      <c r="C49" s="34"/>
      <c r="D49" s="34"/>
      <c r="E49" s="143">
        <f>IFERROR(ROUND(E44/E45/E47/E46/E48,2),0)</f>
        <v>0</v>
      </c>
      <c r="F49" s="144">
        <f>IFERROR(ROUND(F44/F45/F47/F46/F48,2),0)</f>
        <v>0</v>
      </c>
      <c r="G49" s="144">
        <f>IFERROR(ROUND(G44/G45/G47/G46/G48,2),0)</f>
        <v>0</v>
      </c>
      <c r="H49" s="144">
        <f>IFERROR(ROUND(H44/H45/H47/H46/H48,2),0)</f>
        <v>0</v>
      </c>
      <c r="I49" s="144">
        <f t="shared" ref="I49:N49" si="6">IFERROR(ROUND(I44/I45/I47/I46/I48,2),0)</f>
        <v>0</v>
      </c>
      <c r="J49" s="145">
        <f t="shared" si="6"/>
        <v>0</v>
      </c>
      <c r="K49" s="196">
        <f t="shared" si="6"/>
        <v>0</v>
      </c>
      <c r="L49" s="144">
        <f t="shared" si="6"/>
        <v>0</v>
      </c>
      <c r="M49" s="144">
        <f t="shared" si="6"/>
        <v>0</v>
      </c>
      <c r="N49" s="145">
        <f t="shared" si="6"/>
        <v>0</v>
      </c>
      <c r="O49" s="122"/>
      <c r="P49" s="122"/>
      <c r="Q49" s="122"/>
      <c r="S49" s="2"/>
    </row>
    <row r="50" spans="1:19" x14ac:dyDescent="0.3">
      <c r="A50" s="648"/>
      <c r="B50" s="770"/>
      <c r="C50" s="771"/>
      <c r="D50" s="771"/>
      <c r="E50" s="771"/>
      <c r="F50" s="771"/>
      <c r="G50" s="771"/>
      <c r="H50" s="771"/>
      <c r="I50" s="771"/>
      <c r="J50" s="771"/>
      <c r="K50" s="771"/>
      <c r="L50" s="771"/>
      <c r="M50" s="771"/>
      <c r="N50" s="771"/>
      <c r="O50" s="771"/>
      <c r="P50" s="771"/>
      <c r="Q50" s="771"/>
      <c r="S50" s="2"/>
    </row>
    <row r="51" spans="1:19" x14ac:dyDescent="0.3">
      <c r="A51" s="648"/>
      <c r="B51" s="638" t="s">
        <v>1342</v>
      </c>
      <c r="C51" s="639"/>
      <c r="D51" s="639"/>
      <c r="E51" s="639"/>
      <c r="F51" s="772"/>
      <c r="G51" s="723">
        <f>SUM(E49:N49)</f>
        <v>0</v>
      </c>
      <c r="H51" s="724"/>
      <c r="I51" s="725"/>
      <c r="J51" s="9"/>
      <c r="S51" s="2"/>
    </row>
    <row r="52" spans="1:19" ht="25.2" customHeight="1" x14ac:dyDescent="0.3">
      <c r="A52" s="648"/>
      <c r="B52" s="773" t="s">
        <v>1159</v>
      </c>
      <c r="C52" s="774"/>
      <c r="D52" s="774"/>
      <c r="E52" s="774"/>
      <c r="F52" s="775"/>
      <c r="G52" s="711" t="s">
        <v>1696</v>
      </c>
      <c r="H52" s="712"/>
      <c r="I52" s="712"/>
      <c r="J52" s="712"/>
      <c r="K52" s="712"/>
      <c r="L52" s="712"/>
      <c r="M52" s="712"/>
      <c r="N52" s="712"/>
      <c r="O52" s="712"/>
      <c r="P52" s="712"/>
      <c r="Q52" s="713"/>
      <c r="S52" s="2"/>
    </row>
    <row r="53" spans="1:19" x14ac:dyDescent="0.3">
      <c r="A53" s="648"/>
      <c r="B53" s="779"/>
      <c r="C53" s="780"/>
      <c r="D53" s="780"/>
      <c r="E53" s="780"/>
      <c r="F53" s="780"/>
      <c r="G53" s="780"/>
      <c r="H53" s="780"/>
      <c r="I53" s="780"/>
      <c r="J53" s="780"/>
      <c r="K53" s="780"/>
      <c r="L53" s="780"/>
      <c r="M53" s="780"/>
      <c r="N53" s="780"/>
      <c r="O53" s="780"/>
      <c r="P53" s="780"/>
      <c r="Q53" s="781"/>
      <c r="S53" s="2"/>
    </row>
    <row r="54" spans="1:19" x14ac:dyDescent="0.3">
      <c r="A54" s="648"/>
      <c r="B54" s="23"/>
      <c r="C54" s="3"/>
      <c r="D54" s="3"/>
      <c r="E54" s="3"/>
      <c r="S54" s="2"/>
    </row>
    <row r="55" spans="1:19" x14ac:dyDescent="0.3">
      <c r="A55" s="648"/>
      <c r="B55" s="757" t="s">
        <v>1161</v>
      </c>
      <c r="C55" s="758"/>
      <c r="D55" s="758"/>
      <c r="E55" s="759"/>
      <c r="F55" s="760" t="s">
        <v>1583</v>
      </c>
      <c r="G55" s="761"/>
      <c r="H55" s="761"/>
      <c r="I55" s="761"/>
      <c r="J55" s="761"/>
      <c r="K55" s="761"/>
      <c r="L55" s="761"/>
      <c r="M55" s="761"/>
      <c r="N55" s="761"/>
      <c r="O55" s="761"/>
      <c r="P55" s="761"/>
      <c r="Q55" s="762"/>
      <c r="S55" s="2"/>
    </row>
    <row r="56" spans="1:19" x14ac:dyDescent="0.3">
      <c r="A56" s="648"/>
      <c r="B56" s="35"/>
      <c r="C56" s="35"/>
      <c r="D56" s="35"/>
      <c r="E56" s="35"/>
      <c r="F56" s="118"/>
      <c r="G56" s="118"/>
      <c r="H56" s="118"/>
      <c r="I56" s="118"/>
      <c r="J56" s="118"/>
      <c r="K56" s="118"/>
      <c r="L56" s="118"/>
      <c r="M56" s="118"/>
      <c r="N56" s="118"/>
      <c r="O56" s="118"/>
      <c r="P56" s="118"/>
      <c r="Q56" s="118"/>
      <c r="S56" s="2"/>
    </row>
    <row r="57" spans="1:19" x14ac:dyDescent="0.3">
      <c r="A57" s="648"/>
      <c r="B57" s="638" t="s">
        <v>1343</v>
      </c>
      <c r="C57" s="639"/>
      <c r="D57" s="639"/>
      <c r="E57" s="639"/>
      <c r="F57" s="772"/>
      <c r="G57" s="118"/>
      <c r="H57" s="118"/>
      <c r="I57" s="118"/>
      <c r="J57" s="118"/>
      <c r="K57" s="118"/>
      <c r="L57" s="118"/>
      <c r="M57" s="118"/>
      <c r="N57" s="118"/>
      <c r="O57" s="118"/>
      <c r="P57" s="118"/>
      <c r="Q57" s="118"/>
      <c r="S57" s="2"/>
    </row>
    <row r="58" spans="1:19" s="10" customFormat="1" x14ac:dyDescent="0.3">
      <c r="A58" s="648"/>
      <c r="B58" s="129"/>
      <c r="C58" s="129"/>
      <c r="D58" s="129" t="s">
        <v>1344</v>
      </c>
      <c r="E58" s="129"/>
      <c r="F58" s="393">
        <f>SUMIFS(E37:N37,E45:N45,"&gt;=20")</f>
        <v>0</v>
      </c>
      <c r="G58" s="118"/>
      <c r="H58" s="118"/>
      <c r="I58" s="118"/>
      <c r="J58" s="118"/>
      <c r="K58" s="118"/>
      <c r="L58" s="118"/>
      <c r="M58" s="118"/>
      <c r="N58" s="118"/>
      <c r="O58" s="118"/>
      <c r="P58" s="118"/>
      <c r="Q58" s="118"/>
    </row>
    <row r="59" spans="1:19" s="10" customFormat="1" x14ac:dyDescent="0.3">
      <c r="A59" s="648"/>
      <c r="B59" s="129"/>
      <c r="C59" s="129"/>
      <c r="D59" s="129" t="s">
        <v>1345</v>
      </c>
      <c r="E59" s="129"/>
      <c r="F59" s="393">
        <f>SUM(E37:N37)</f>
        <v>0</v>
      </c>
      <c r="G59" s="118"/>
      <c r="H59" s="118"/>
      <c r="I59" s="118"/>
      <c r="J59" s="118"/>
      <c r="K59" s="118"/>
      <c r="L59" s="118"/>
      <c r="M59" s="118"/>
      <c r="N59" s="118"/>
      <c r="O59" s="118"/>
      <c r="P59" s="118"/>
      <c r="Q59" s="118"/>
    </row>
    <row r="60" spans="1:19" x14ac:dyDescent="0.3">
      <c r="A60" s="648"/>
      <c r="B60" s="24"/>
      <c r="C60" s="24"/>
      <c r="D60" s="26"/>
      <c r="E60" s="26"/>
      <c r="F60" s="394">
        <f>IFERROR(F58/F59,0)</f>
        <v>0</v>
      </c>
      <c r="G60" s="24"/>
      <c r="H60" s="24"/>
      <c r="I60" s="24"/>
      <c r="J60" s="24"/>
      <c r="K60" s="24"/>
      <c r="L60" s="24"/>
      <c r="M60" s="24"/>
      <c r="N60" s="24"/>
      <c r="O60" s="24"/>
      <c r="P60" s="24"/>
      <c r="Q60" s="24"/>
    </row>
    <row r="61" spans="1:19" x14ac:dyDescent="0.3">
      <c r="B61" s="24"/>
      <c r="C61" s="24"/>
      <c r="D61" s="24"/>
      <c r="E61" s="24"/>
      <c r="F61" s="127"/>
      <c r="G61" s="24"/>
      <c r="H61" s="24"/>
      <c r="I61" s="24"/>
      <c r="J61" s="24"/>
      <c r="K61" s="24"/>
      <c r="L61" s="24"/>
      <c r="M61" s="24"/>
      <c r="N61" s="24"/>
      <c r="O61" s="24"/>
      <c r="P61" s="24"/>
      <c r="Q61" s="24"/>
    </row>
    <row r="62" spans="1:19" x14ac:dyDescent="0.3">
      <c r="B62" s="128" t="s">
        <v>1346</v>
      </c>
      <c r="C62" s="26" t="str">
        <f>IF(F60&gt;=50%, "De nieuwe investeringen met een afschrijvingsduur van minimaal 20 jaar vertegenwoordigen minimaal 50% van de totale gefactureerde investeringskost. Het juiste formulier wordt gebruikt.", "De nieuwe investeringen met een afschrijvingsduur van minimaal 20 jaar vertegenwoordigen minder dan 50% van de totale gefactureerde investeringskost. Bijgevolg dient u het formulier 2, andere te gebruiken.")</f>
        <v>De nieuwe investeringen met een afschrijvingsduur van minimaal 20 jaar vertegenwoordigen minder dan 50% van de totale gefactureerde investeringskost. Bijgevolg dient u het formulier 2, andere te gebruiken.</v>
      </c>
      <c r="D62" s="24"/>
      <c r="E62" s="24"/>
      <c r="F62" s="127"/>
      <c r="G62" s="24"/>
      <c r="H62" s="24"/>
      <c r="I62" s="24"/>
      <c r="J62" s="24"/>
      <c r="K62" s="24"/>
      <c r="L62" s="24"/>
      <c r="M62" s="24"/>
      <c r="N62" s="24"/>
      <c r="O62" s="24"/>
      <c r="P62" s="24"/>
      <c r="Q62" s="24"/>
    </row>
    <row r="63" spans="1:19" x14ac:dyDescent="0.3">
      <c r="B63" s="35"/>
      <c r="C63" s="35"/>
      <c r="D63" s="35"/>
      <c r="E63" s="35"/>
      <c r="F63" s="7"/>
      <c r="G63" s="7"/>
      <c r="H63" s="7"/>
      <c r="I63" s="7"/>
      <c r="J63" s="7"/>
      <c r="K63" s="7"/>
      <c r="L63" s="7"/>
      <c r="M63" s="7"/>
      <c r="N63" s="7"/>
      <c r="O63" s="7"/>
      <c r="P63" s="7"/>
      <c r="Q63" s="7"/>
    </row>
    <row r="64" spans="1:19" x14ac:dyDescent="0.3">
      <c r="B64" s="649" t="s">
        <v>1347</v>
      </c>
      <c r="C64" s="650"/>
      <c r="D64" s="650"/>
      <c r="E64" s="650"/>
      <c r="F64" s="650"/>
      <c r="G64" s="650"/>
      <c r="H64" s="650"/>
      <c r="I64" s="650"/>
      <c r="J64" s="650"/>
      <c r="K64" s="650"/>
      <c r="L64" s="650"/>
      <c r="M64" s="650"/>
      <c r="N64" s="650"/>
      <c r="O64" s="650"/>
      <c r="P64" s="650"/>
      <c r="Q64" s="650"/>
    </row>
    <row r="65" spans="2:17" x14ac:dyDescent="0.3">
      <c r="B65" s="2"/>
      <c r="C65" s="2"/>
      <c r="D65" s="2"/>
      <c r="E65" s="2"/>
      <c r="F65" s="2"/>
      <c r="G65" s="2"/>
      <c r="H65" s="2"/>
      <c r="I65" s="2"/>
      <c r="J65" s="2"/>
      <c r="K65" s="2"/>
      <c r="L65" s="2"/>
      <c r="M65" s="2"/>
      <c r="N65" s="2"/>
      <c r="O65" s="2"/>
      <c r="P65" s="2"/>
      <c r="Q65" s="2"/>
    </row>
    <row r="66" spans="2:17" ht="15" customHeight="1" x14ac:dyDescent="0.3">
      <c r="B66" s="763" t="s">
        <v>1348</v>
      </c>
      <c r="C66" s="764"/>
      <c r="D66" s="764"/>
      <c r="E66" s="764"/>
      <c r="F66" s="764"/>
      <c r="G66" s="764"/>
      <c r="H66" s="764"/>
      <c r="I66" s="764"/>
      <c r="J66" s="764"/>
      <c r="K66" s="764"/>
      <c r="L66" s="764"/>
      <c r="M66" s="765"/>
      <c r="N66" s="43"/>
      <c r="O66" s="43"/>
      <c r="P66" s="43"/>
    </row>
    <row r="67" spans="2:17" ht="313.95" customHeight="1" x14ac:dyDescent="0.3">
      <c r="B67" s="766"/>
      <c r="C67" s="767"/>
      <c r="D67" s="767"/>
      <c r="E67" s="767"/>
      <c r="F67" s="767"/>
      <c r="G67" s="767"/>
      <c r="H67" s="767"/>
      <c r="I67" s="767"/>
      <c r="J67" s="767"/>
      <c r="K67" s="767"/>
      <c r="L67" s="767"/>
      <c r="M67" s="768"/>
      <c r="N67" s="43"/>
      <c r="O67" s="43"/>
      <c r="P67" s="43"/>
    </row>
    <row r="68" spans="2:17" x14ac:dyDescent="0.3">
      <c r="B68" s="2"/>
    </row>
    <row r="69" spans="2:17" ht="43.2" x14ac:dyDescent="0.3">
      <c r="E69" s="69" t="s">
        <v>1179</v>
      </c>
      <c r="F69" s="1" t="s">
        <v>1180</v>
      </c>
      <c r="G69" s="100" t="s">
        <v>1181</v>
      </c>
      <c r="H69" s="5" t="s">
        <v>1182</v>
      </c>
      <c r="I69" s="100" t="s">
        <v>1183</v>
      </c>
      <c r="J69" s="101" t="s">
        <v>1184</v>
      </c>
      <c r="K69" s="5" t="s">
        <v>1185</v>
      </c>
      <c r="L69" s="102" t="s">
        <v>1186</v>
      </c>
      <c r="M69" s="69" t="s">
        <v>1187</v>
      </c>
      <c r="N69" s="69"/>
    </row>
    <row r="70" spans="2:17" x14ac:dyDescent="0.3">
      <c r="B70" s="769" t="s">
        <v>1188</v>
      </c>
      <c r="C70" s="769"/>
      <c r="D70" s="769"/>
      <c r="E70" s="256">
        <v>0</v>
      </c>
      <c r="F70" s="259">
        <v>0</v>
      </c>
      <c r="G70" s="259">
        <v>0</v>
      </c>
      <c r="H70" s="259">
        <v>0</v>
      </c>
      <c r="I70" s="259">
        <v>0</v>
      </c>
      <c r="J70" s="259">
        <v>0</v>
      </c>
      <c r="K70" s="259">
        <v>0</v>
      </c>
      <c r="L70" s="259">
        <v>0</v>
      </c>
      <c r="M70" s="103">
        <f>F70-SUM(G70:L70)</f>
        <v>0</v>
      </c>
      <c r="N70" s="154" t="s">
        <v>1189</v>
      </c>
    </row>
    <row r="71" spans="2:17" x14ac:dyDescent="0.3">
      <c r="B71" s="769" t="s">
        <v>1190</v>
      </c>
      <c r="C71" s="769"/>
      <c r="D71" s="769"/>
      <c r="E71" s="256">
        <v>0</v>
      </c>
      <c r="F71" s="259">
        <v>0</v>
      </c>
      <c r="G71" s="259">
        <v>0</v>
      </c>
      <c r="H71" s="259">
        <v>0</v>
      </c>
      <c r="I71" s="259">
        <v>0</v>
      </c>
      <c r="J71" s="259">
        <v>0</v>
      </c>
      <c r="K71" s="259">
        <v>0</v>
      </c>
      <c r="L71" s="259">
        <v>0</v>
      </c>
      <c r="M71" s="103">
        <f>F71-SUM(G71:L71)</f>
        <v>0</v>
      </c>
      <c r="N71" s="154" t="s">
        <v>1189</v>
      </c>
    </row>
    <row r="72" spans="2:17" x14ac:dyDescent="0.3">
      <c r="B72" s="1" t="s">
        <v>1191</v>
      </c>
      <c r="C72" s="1"/>
      <c r="D72" s="1"/>
      <c r="E72" s="56"/>
      <c r="F72" s="56"/>
      <c r="G72" s="56"/>
      <c r="H72" s="56"/>
      <c r="I72" s="56"/>
      <c r="J72" s="56"/>
      <c r="K72" s="56"/>
      <c r="L72" s="56"/>
      <c r="M72" s="57">
        <f>SUM(M70:N71)</f>
        <v>0</v>
      </c>
      <c r="N72" s="154" t="s">
        <v>1189</v>
      </c>
    </row>
    <row r="73" spans="2:17" x14ac:dyDescent="0.3">
      <c r="B73" s="1" t="s">
        <v>1192</v>
      </c>
      <c r="C73" s="1"/>
      <c r="D73" s="1"/>
      <c r="E73" s="56"/>
      <c r="F73" s="56"/>
      <c r="H73" s="56"/>
      <c r="I73" s="83" t="s">
        <v>1193</v>
      </c>
      <c r="J73" s="56"/>
      <c r="K73" s="57"/>
      <c r="L73" s="57"/>
    </row>
    <row r="74" spans="2:17" x14ac:dyDescent="0.3">
      <c r="B74" t="s">
        <v>1194</v>
      </c>
      <c r="E74" s="18">
        <f>M72</f>
        <v>0</v>
      </c>
      <c r="F74" s="58" t="s">
        <v>1156</v>
      </c>
      <c r="G74" s="56"/>
      <c r="H74" s="56"/>
      <c r="I74" s="56"/>
      <c r="J74" s="56"/>
      <c r="K74" s="57"/>
      <c r="L74" s="57"/>
    </row>
    <row r="75" spans="2:17" x14ac:dyDescent="0.3">
      <c r="B75" t="s">
        <v>1195</v>
      </c>
      <c r="E75" s="16">
        <f>'Generieke input'!G36*E25*bezettingsgraad_werken</f>
        <v>0</v>
      </c>
      <c r="F75" s="11" t="s">
        <v>1156</v>
      </c>
      <c r="G75" s="1"/>
      <c r="H75" s="1"/>
      <c r="I75" s="1"/>
      <c r="J75" s="1"/>
      <c r="K75" s="36"/>
      <c r="L75" s="69"/>
    </row>
    <row r="76" spans="2:17" x14ac:dyDescent="0.3">
      <c r="E76" s="16"/>
      <c r="F76" s="1"/>
      <c r="G76" s="1"/>
      <c r="H76" s="1"/>
      <c r="I76" s="1"/>
      <c r="J76" s="1"/>
      <c r="K76" s="36"/>
      <c r="L76" s="69"/>
    </row>
    <row r="77" spans="2:17" x14ac:dyDescent="0.3">
      <c r="B77" s="638" t="s">
        <v>1196</v>
      </c>
      <c r="C77" s="639"/>
      <c r="D77" s="639"/>
      <c r="E77" s="639"/>
      <c r="F77" s="772"/>
      <c r="G77" s="723">
        <f>IFERROR(E74/E75,0)</f>
        <v>0</v>
      </c>
      <c r="H77" s="724"/>
      <c r="I77" s="725"/>
      <c r="J77" s="11" t="s">
        <v>1156</v>
      </c>
    </row>
    <row r="78" spans="2:17" x14ac:dyDescent="0.3">
      <c r="B78" s="638" t="s">
        <v>1197</v>
      </c>
      <c r="C78" s="639"/>
      <c r="D78" s="639"/>
      <c r="E78" s="639"/>
      <c r="F78" s="772"/>
      <c r="G78" s="788" t="s">
        <v>1198</v>
      </c>
      <c r="H78" s="789"/>
      <c r="I78" s="789"/>
      <c r="J78" s="789"/>
      <c r="K78" s="789"/>
      <c r="L78" s="789"/>
      <c r="M78" s="789"/>
      <c r="N78" s="789"/>
      <c r="O78" s="789"/>
      <c r="P78" s="789"/>
      <c r="Q78" s="790"/>
    </row>
    <row r="80" spans="2:17" x14ac:dyDescent="0.3">
      <c r="B80" s="649" t="s">
        <v>1349</v>
      </c>
      <c r="C80" s="650"/>
      <c r="D80" s="650"/>
      <c r="E80" s="650"/>
      <c r="F80" s="650"/>
      <c r="G80" s="650"/>
      <c r="H80" s="650"/>
      <c r="I80" s="650"/>
      <c r="J80" s="650"/>
      <c r="K80" s="650"/>
      <c r="L80" s="650"/>
      <c r="M80" s="650"/>
      <c r="N80" s="650"/>
      <c r="O80" s="650"/>
      <c r="P80" s="650"/>
      <c r="Q80" s="650"/>
    </row>
    <row r="82" spans="2:18" ht="85.65" customHeight="1" x14ac:dyDescent="0.3">
      <c r="B82" s="782" t="s">
        <v>1350</v>
      </c>
      <c r="C82" s="783"/>
      <c r="D82" s="783"/>
      <c r="E82" s="783"/>
      <c r="F82" s="783"/>
      <c r="G82" s="783"/>
      <c r="H82" s="783"/>
      <c r="I82" s="783"/>
      <c r="J82" s="783"/>
      <c r="K82" s="783"/>
      <c r="L82" s="783"/>
      <c r="M82" s="783"/>
      <c r="N82" s="783"/>
      <c r="O82" s="783"/>
      <c r="P82" s="783"/>
      <c r="Q82" s="784"/>
    </row>
    <row r="83" spans="2:18" ht="15" thickBot="1" x14ac:dyDescent="0.35">
      <c r="B83" s="76"/>
      <c r="C83" s="76"/>
      <c r="D83" s="76"/>
      <c r="E83" s="76"/>
      <c r="F83" s="76"/>
      <c r="G83" s="76"/>
      <c r="H83" s="76"/>
      <c r="I83" s="76"/>
      <c r="J83" s="76"/>
      <c r="K83" s="76"/>
      <c r="L83" s="76"/>
      <c r="M83" s="76"/>
      <c r="N83" s="76"/>
      <c r="O83" s="76"/>
      <c r="P83" s="76"/>
      <c r="Q83" s="76"/>
    </row>
    <row r="84" spans="2:18" s="10" customFormat="1" ht="42.75" customHeight="1" thickBot="1" x14ac:dyDescent="0.35">
      <c r="B84" s="785" t="s">
        <v>1200</v>
      </c>
      <c r="C84" s="786"/>
      <c r="D84" s="786"/>
      <c r="E84" s="72" t="s">
        <v>1201</v>
      </c>
      <c r="F84" s="72" t="s">
        <v>1202</v>
      </c>
      <c r="G84" s="75"/>
      <c r="H84" s="75"/>
      <c r="I84" s="75"/>
      <c r="J84" s="75"/>
      <c r="K84" s="75"/>
      <c r="L84" s="75"/>
      <c r="M84" s="75"/>
      <c r="N84" s="75"/>
      <c r="O84" s="75"/>
      <c r="P84" s="75"/>
      <c r="Q84" s="75"/>
    </row>
    <row r="85" spans="2:18" s="10" customFormat="1" ht="14.25" customHeight="1" x14ac:dyDescent="0.3">
      <c r="B85" s="75"/>
      <c r="C85" s="52" t="s">
        <v>1191</v>
      </c>
      <c r="D85" s="68"/>
      <c r="E85" s="287">
        <f>SUM(E86:E93)</f>
        <v>0</v>
      </c>
      <c r="F85" s="428">
        <f t="shared" ref="F85:F93" si="7">IFERROR(E85/$E$116,0)</f>
        <v>0</v>
      </c>
      <c r="G85" s="787" t="s">
        <v>1203</v>
      </c>
      <c r="H85" s="786"/>
      <c r="I85" s="786"/>
      <c r="J85" s="786"/>
      <c r="K85" s="786"/>
      <c r="L85" s="786"/>
      <c r="M85" s="786"/>
      <c r="N85" s="68"/>
      <c r="O85" s="68"/>
      <c r="P85" s="68"/>
      <c r="Q85" s="75"/>
      <c r="R85" s="75"/>
    </row>
    <row r="86" spans="2:18" s="10" customFormat="1" ht="15" customHeight="1" x14ac:dyDescent="0.3">
      <c r="B86" s="75"/>
      <c r="C86" s="75"/>
      <c r="D86" s="51" t="s">
        <v>1204</v>
      </c>
      <c r="E86" s="260">
        <v>0</v>
      </c>
      <c r="F86" s="429">
        <f t="shared" si="7"/>
        <v>0</v>
      </c>
      <c r="G86" s="54" t="s">
        <v>1205</v>
      </c>
      <c r="H86" s="75"/>
      <c r="I86" s="75"/>
      <c r="J86" s="75"/>
      <c r="K86" s="75"/>
      <c r="L86" s="75"/>
      <c r="M86" s="75"/>
      <c r="N86" s="75"/>
      <c r="O86" s="75"/>
      <c r="P86" s="75"/>
      <c r="Q86" s="75"/>
      <c r="R86" s="75"/>
    </row>
    <row r="87" spans="2:18" s="10" customFormat="1" ht="15" customHeight="1" x14ac:dyDescent="0.3">
      <c r="B87" s="75"/>
      <c r="C87" s="75"/>
      <c r="D87" s="51" t="s">
        <v>1206</v>
      </c>
      <c r="E87" s="260">
        <v>0</v>
      </c>
      <c r="F87" s="429">
        <f t="shared" si="7"/>
        <v>0</v>
      </c>
      <c r="G87" s="54" t="s">
        <v>1205</v>
      </c>
      <c r="H87" s="75"/>
      <c r="I87" s="75"/>
      <c r="J87" s="75"/>
      <c r="K87" s="75"/>
      <c r="L87" s="75"/>
      <c r="M87" s="75"/>
      <c r="N87" s="75"/>
      <c r="O87" s="75"/>
      <c r="P87" s="75"/>
      <c r="Q87" s="75"/>
      <c r="R87" s="75"/>
    </row>
    <row r="88" spans="2:18" s="10" customFormat="1" ht="15" customHeight="1" x14ac:dyDescent="0.3">
      <c r="B88" s="75"/>
      <c r="C88" s="75"/>
      <c r="D88" s="51" t="s">
        <v>1207</v>
      </c>
      <c r="E88" s="260">
        <v>0</v>
      </c>
      <c r="F88" s="429">
        <f t="shared" si="7"/>
        <v>0</v>
      </c>
      <c r="G88" s="54" t="s">
        <v>1205</v>
      </c>
      <c r="H88" s="605" t="s">
        <v>1208</v>
      </c>
      <c r="I88" s="605"/>
      <c r="J88" s="605"/>
      <c r="K88" s="605"/>
      <c r="L88" s="605"/>
      <c r="M88" s="605"/>
      <c r="N88" s="605"/>
      <c r="O88" s="605"/>
      <c r="P88" s="605"/>
      <c r="Q88" s="786"/>
      <c r="R88" s="75"/>
    </row>
    <row r="89" spans="2:18" s="10" customFormat="1" ht="15" customHeight="1" x14ac:dyDescent="0.3">
      <c r="B89" s="75"/>
      <c r="C89" s="75"/>
      <c r="D89" s="51" t="s">
        <v>1209</v>
      </c>
      <c r="E89" s="260">
        <v>0</v>
      </c>
      <c r="F89" s="429">
        <f t="shared" si="7"/>
        <v>0</v>
      </c>
      <c r="G89" s="54" t="s">
        <v>1205</v>
      </c>
      <c r="H89" s="51"/>
      <c r="I89" s="51"/>
      <c r="J89" s="51"/>
      <c r="K89" s="51"/>
      <c r="L89" s="51"/>
      <c r="M89" s="51"/>
      <c r="N89" s="51"/>
      <c r="O89" s="51"/>
      <c r="P89" s="51"/>
      <c r="Q89" s="51"/>
      <c r="R89" s="75"/>
    </row>
    <row r="90" spans="2:18" s="10" customFormat="1" ht="15" customHeight="1" x14ac:dyDescent="0.3">
      <c r="B90" s="75"/>
      <c r="C90" s="75"/>
      <c r="D90" s="51" t="s">
        <v>1210</v>
      </c>
      <c r="E90" s="260">
        <v>0</v>
      </c>
      <c r="F90" s="429">
        <f t="shared" si="7"/>
        <v>0</v>
      </c>
      <c r="G90" s="54" t="s">
        <v>1205</v>
      </c>
      <c r="H90" s="605" t="s">
        <v>1211</v>
      </c>
      <c r="I90" s="786"/>
      <c r="J90" s="786"/>
      <c r="K90" s="786"/>
      <c r="L90" s="786"/>
      <c r="M90" s="786"/>
      <c r="N90" s="68"/>
      <c r="O90" s="68"/>
      <c r="P90" s="68"/>
      <c r="Q90" s="51"/>
      <c r="R90" s="75"/>
    </row>
    <row r="91" spans="2:18" s="10" customFormat="1" ht="15" customHeight="1" x14ac:dyDescent="0.3">
      <c r="B91" s="75"/>
      <c r="C91" s="75"/>
      <c r="D91" s="51" t="s">
        <v>1212</v>
      </c>
      <c r="E91" s="260">
        <v>0</v>
      </c>
      <c r="F91" s="429">
        <f t="shared" si="7"/>
        <v>0</v>
      </c>
      <c r="G91" s="54" t="s">
        <v>1205</v>
      </c>
      <c r="H91" s="51"/>
      <c r="I91" s="51"/>
      <c r="J91" s="51"/>
      <c r="K91" s="51"/>
      <c r="L91" s="51"/>
      <c r="M91" s="51"/>
      <c r="N91" s="51"/>
      <c r="O91" s="51"/>
      <c r="P91" s="51"/>
      <c r="Q91" s="51"/>
      <c r="R91" s="75"/>
    </row>
    <row r="92" spans="2:18" s="10" customFormat="1" ht="15" customHeight="1" x14ac:dyDescent="0.3">
      <c r="B92" s="75"/>
      <c r="C92" s="75"/>
      <c r="D92" s="51" t="s">
        <v>1213</v>
      </c>
      <c r="E92" s="260">
        <v>0</v>
      </c>
      <c r="F92" s="429">
        <f t="shared" si="7"/>
        <v>0</v>
      </c>
      <c r="G92" s="54" t="s">
        <v>1205</v>
      </c>
      <c r="H92" s="51"/>
      <c r="I92" s="51"/>
      <c r="J92" s="51"/>
      <c r="K92" s="51"/>
      <c r="L92" s="51"/>
      <c r="M92" s="51"/>
      <c r="N92" s="51"/>
      <c r="O92" s="51"/>
      <c r="P92" s="51"/>
      <c r="Q92" s="51"/>
      <c r="R92" s="75"/>
    </row>
    <row r="93" spans="2:18" s="10" customFormat="1" ht="15" customHeight="1" x14ac:dyDescent="0.3">
      <c r="B93" s="75"/>
      <c r="C93" s="75"/>
      <c r="D93" s="96" t="s">
        <v>91</v>
      </c>
      <c r="E93" s="260">
        <v>0</v>
      </c>
      <c r="F93" s="429">
        <f t="shared" si="7"/>
        <v>0</v>
      </c>
      <c r="G93" s="54" t="s">
        <v>1205</v>
      </c>
      <c r="H93" s="75"/>
      <c r="I93" s="75"/>
      <c r="J93" s="75"/>
      <c r="K93" s="75"/>
      <c r="L93" s="75"/>
      <c r="M93" s="75"/>
      <c r="N93" s="75"/>
      <c r="O93" s="75"/>
      <c r="P93" s="75"/>
      <c r="Q93" s="75"/>
      <c r="R93" s="75"/>
    </row>
    <row r="94" spans="2:18" ht="15" customHeight="1" x14ac:dyDescent="0.3">
      <c r="E94" s="94"/>
      <c r="F94" s="18"/>
    </row>
    <row r="95" spans="2:18" ht="15" customHeight="1" x14ac:dyDescent="0.3">
      <c r="B95" s="1" t="s">
        <v>1214</v>
      </c>
      <c r="E95" s="95"/>
      <c r="F95" s="56"/>
    </row>
    <row r="96" spans="2:18" ht="15" customHeight="1" x14ac:dyDescent="0.3">
      <c r="C96" s="1" t="s">
        <v>1215</v>
      </c>
      <c r="E96" s="261">
        <f>SUM(E97:E104)</f>
        <v>0</v>
      </c>
      <c r="F96" s="430">
        <f>IFERROR(E96/E116,0)</f>
        <v>0</v>
      </c>
      <c r="G96" s="66" t="s">
        <v>1203</v>
      </c>
      <c r="H96" s="68"/>
      <c r="I96" s="68"/>
      <c r="J96" s="68"/>
      <c r="K96" s="68"/>
      <c r="L96" s="81"/>
      <c r="M96" s="81"/>
      <c r="N96" s="81"/>
      <c r="O96" s="81"/>
      <c r="P96" s="81"/>
      <c r="Q96" s="81"/>
    </row>
    <row r="97" spans="2:17" ht="15" customHeight="1" x14ac:dyDescent="0.3">
      <c r="D97" t="s">
        <v>1216</v>
      </c>
      <c r="E97" s="262">
        <v>0</v>
      </c>
      <c r="F97" s="18">
        <f t="shared" ref="F97:F110" si="8">IFERROR(E97/$E$116,0)</f>
        <v>0</v>
      </c>
      <c r="G97" s="54" t="s">
        <v>1205</v>
      </c>
    </row>
    <row r="98" spans="2:17" ht="15" customHeight="1" x14ac:dyDescent="0.3">
      <c r="D98" t="s">
        <v>1217</v>
      </c>
      <c r="E98" s="262">
        <v>0</v>
      </c>
      <c r="F98" s="18">
        <f t="shared" si="8"/>
        <v>0</v>
      </c>
      <c r="G98" s="54" t="s">
        <v>1205</v>
      </c>
      <c r="H98" s="2" t="s">
        <v>1218</v>
      </c>
    </row>
    <row r="99" spans="2:17" ht="15" customHeight="1" x14ac:dyDescent="0.3">
      <c r="D99" t="s">
        <v>1219</v>
      </c>
      <c r="E99" s="262">
        <v>0</v>
      </c>
      <c r="F99" s="18">
        <f t="shared" si="8"/>
        <v>0</v>
      </c>
      <c r="G99" s="54" t="s">
        <v>1205</v>
      </c>
      <c r="H99" s="2" t="s">
        <v>1220</v>
      </c>
    </row>
    <row r="100" spans="2:17" ht="15" customHeight="1" x14ac:dyDescent="0.3">
      <c r="B100" s="1"/>
      <c r="D100" t="s">
        <v>1221</v>
      </c>
      <c r="E100" s="262">
        <v>0</v>
      </c>
      <c r="F100" s="18">
        <f t="shared" si="8"/>
        <v>0</v>
      </c>
      <c r="G100" s="54" t="s">
        <v>1205</v>
      </c>
      <c r="H100" s="2" t="s">
        <v>1351</v>
      </c>
    </row>
    <row r="101" spans="2:17" ht="15" customHeight="1" x14ac:dyDescent="0.3">
      <c r="D101" t="s">
        <v>1223</v>
      </c>
      <c r="E101" s="262">
        <v>0</v>
      </c>
      <c r="F101" s="18">
        <f t="shared" si="8"/>
        <v>0</v>
      </c>
      <c r="G101" s="54" t="s">
        <v>1205</v>
      </c>
    </row>
    <row r="102" spans="2:17" ht="15" customHeight="1" x14ac:dyDescent="0.3">
      <c r="D102" t="s">
        <v>1224</v>
      </c>
      <c r="E102" s="262">
        <v>0</v>
      </c>
      <c r="F102" s="18">
        <f t="shared" si="8"/>
        <v>0</v>
      </c>
      <c r="G102" s="54" t="s">
        <v>1205</v>
      </c>
      <c r="H102" s="2" t="s">
        <v>1225</v>
      </c>
    </row>
    <row r="103" spans="2:17" ht="15" customHeight="1" x14ac:dyDescent="0.3">
      <c r="D103" s="37" t="s">
        <v>1226</v>
      </c>
      <c r="E103" s="262">
        <v>0</v>
      </c>
      <c r="F103" s="18">
        <f t="shared" si="8"/>
        <v>0</v>
      </c>
      <c r="G103" s="54" t="s">
        <v>1205</v>
      </c>
      <c r="H103" s="2" t="s">
        <v>1227</v>
      </c>
    </row>
    <row r="104" spans="2:17" ht="15" customHeight="1" x14ac:dyDescent="0.3">
      <c r="D104" s="37" t="s">
        <v>91</v>
      </c>
      <c r="E104" s="262">
        <v>0</v>
      </c>
      <c r="F104" s="18">
        <f t="shared" si="8"/>
        <v>0</v>
      </c>
      <c r="G104" s="54" t="s">
        <v>1205</v>
      </c>
    </row>
    <row r="105" spans="2:17" ht="15" customHeight="1" x14ac:dyDescent="0.3">
      <c r="C105" s="1" t="s">
        <v>1228</v>
      </c>
      <c r="D105" s="53"/>
      <c r="E105" s="263">
        <v>0</v>
      </c>
      <c r="F105" s="363">
        <f t="shared" si="8"/>
        <v>0</v>
      </c>
      <c r="G105" s="70" t="s">
        <v>1229</v>
      </c>
      <c r="H105" s="71"/>
      <c r="I105" s="71"/>
      <c r="J105" s="71"/>
      <c r="K105" s="71"/>
      <c r="L105" s="71"/>
      <c r="M105" s="71"/>
      <c r="N105" s="71"/>
      <c r="O105" s="71"/>
      <c r="P105" s="71"/>
      <c r="Q105" s="71"/>
    </row>
    <row r="106" spans="2:17" ht="15" customHeight="1" x14ac:dyDescent="0.3">
      <c r="C106" s="1" t="s">
        <v>1230</v>
      </c>
      <c r="D106" s="53"/>
      <c r="E106" s="263">
        <v>0</v>
      </c>
      <c r="F106" s="363">
        <f t="shared" si="8"/>
        <v>0</v>
      </c>
      <c r="G106" s="70" t="s">
        <v>1229</v>
      </c>
      <c r="H106" s="71"/>
      <c r="I106" s="71"/>
      <c r="J106" s="71"/>
      <c r="K106" s="71"/>
      <c r="L106" s="71"/>
      <c r="M106" s="71"/>
      <c r="N106" s="71"/>
      <c r="O106" s="71"/>
      <c r="P106" s="71"/>
      <c r="Q106" s="71"/>
    </row>
    <row r="107" spans="2:17" ht="15" customHeight="1" x14ac:dyDescent="0.3">
      <c r="C107" s="5" t="s">
        <v>1231</v>
      </c>
      <c r="D107" s="53"/>
      <c r="E107" s="263">
        <v>0</v>
      </c>
      <c r="F107" s="363">
        <f t="shared" si="8"/>
        <v>0</v>
      </c>
      <c r="G107" s="70" t="s">
        <v>1229</v>
      </c>
      <c r="H107" s="71"/>
      <c r="I107" s="71"/>
      <c r="J107" s="71"/>
      <c r="K107" s="71"/>
      <c r="L107" s="71"/>
      <c r="M107" s="71"/>
      <c r="N107" s="71"/>
      <c r="O107" s="71"/>
      <c r="P107" s="71"/>
      <c r="Q107" s="71"/>
    </row>
    <row r="108" spans="2:17" ht="15" customHeight="1" x14ac:dyDescent="0.3">
      <c r="C108" s="1" t="s">
        <v>1232</v>
      </c>
      <c r="D108" s="53"/>
      <c r="E108" s="263">
        <v>0</v>
      </c>
      <c r="F108" s="363">
        <f t="shared" si="8"/>
        <v>0</v>
      </c>
      <c r="G108" s="70" t="s">
        <v>1229</v>
      </c>
      <c r="H108" s="71"/>
      <c r="I108" s="71"/>
      <c r="J108" s="71"/>
      <c r="K108" s="71"/>
      <c r="L108" s="71"/>
      <c r="M108" s="71"/>
      <c r="N108" s="71"/>
      <c r="O108" s="71"/>
      <c r="P108" s="71"/>
      <c r="Q108" s="71"/>
    </row>
    <row r="109" spans="2:17" ht="15" customHeight="1" x14ac:dyDescent="0.3">
      <c r="C109" s="1" t="s">
        <v>1233</v>
      </c>
      <c r="D109" s="53"/>
      <c r="E109" s="263">
        <v>0</v>
      </c>
      <c r="F109" s="363">
        <f t="shared" si="8"/>
        <v>0</v>
      </c>
      <c r="G109" s="70" t="s">
        <v>1229</v>
      </c>
      <c r="H109" s="71"/>
      <c r="I109" s="71"/>
      <c r="J109" s="71"/>
      <c r="K109" s="71"/>
      <c r="L109" s="71"/>
      <c r="M109" s="71"/>
      <c r="N109" s="71"/>
      <c r="O109" s="71"/>
      <c r="P109" s="71"/>
      <c r="Q109" s="71"/>
    </row>
    <row r="110" spans="2:17" ht="15" customHeight="1" x14ac:dyDescent="0.3">
      <c r="C110" s="1" t="s">
        <v>1234</v>
      </c>
      <c r="D110" s="53"/>
      <c r="E110" s="263">
        <v>0</v>
      </c>
      <c r="F110" s="363">
        <f t="shared" si="8"/>
        <v>0</v>
      </c>
      <c r="G110" s="70" t="s">
        <v>1229</v>
      </c>
      <c r="H110" s="71"/>
      <c r="I110" s="71"/>
      <c r="J110" s="71"/>
      <c r="K110" s="71"/>
      <c r="L110" s="71"/>
      <c r="M110" s="71"/>
      <c r="N110" s="71"/>
      <c r="O110" s="71"/>
      <c r="P110" s="71"/>
      <c r="Q110" s="71"/>
    </row>
    <row r="111" spans="2:17" ht="15" customHeight="1" x14ac:dyDescent="0.3">
      <c r="C111" s="1"/>
      <c r="D111" s="53"/>
      <c r="E111" s="95"/>
      <c r="F111" s="56"/>
      <c r="G111" s="71"/>
      <c r="H111" s="71"/>
      <c r="I111" s="71"/>
      <c r="J111" s="71"/>
      <c r="K111" s="71"/>
      <c r="L111" s="71"/>
      <c r="M111" s="71"/>
      <c r="N111" s="71"/>
      <c r="O111" s="71"/>
      <c r="P111" s="71"/>
      <c r="Q111" s="71"/>
    </row>
    <row r="112" spans="2:17" x14ac:dyDescent="0.3">
      <c r="C112" s="1"/>
      <c r="D112" s="53"/>
      <c r="E112" s="56"/>
      <c r="F112" s="56"/>
      <c r="G112" s="2"/>
    </row>
    <row r="113" spans="1:17" x14ac:dyDescent="0.3">
      <c r="B113" s="1" t="s">
        <v>1235</v>
      </c>
      <c r="C113" s="1"/>
      <c r="D113" s="53"/>
      <c r="E113" s="263">
        <v>0</v>
      </c>
      <c r="F113" s="363">
        <f>IFERROR(E113/E116,0)</f>
        <v>0</v>
      </c>
      <c r="G113" s="9" t="s">
        <v>1236</v>
      </c>
    </row>
    <row r="114" spans="1:17" ht="15.6" x14ac:dyDescent="0.3">
      <c r="E114" s="18"/>
      <c r="G114" s="89" t="s">
        <v>1237</v>
      </c>
      <c r="K114" s="85" t="s">
        <v>1238</v>
      </c>
    </row>
    <row r="115" spans="1:17" ht="28.5" customHeight="1" x14ac:dyDescent="0.3">
      <c r="B115" s="803" t="s">
        <v>1239</v>
      </c>
      <c r="C115" s="803"/>
      <c r="D115" s="803"/>
      <c r="E115" s="18">
        <f>E85+E96+SUM(E105:E110)-ABS(E113)</f>
        <v>0</v>
      </c>
      <c r="F115" s="11" t="s">
        <v>1156</v>
      </c>
    </row>
    <row r="116" spans="1:17" x14ac:dyDescent="0.3">
      <c r="B116" t="s">
        <v>1195</v>
      </c>
      <c r="E116" s="16">
        <f>E75</f>
        <v>0</v>
      </c>
      <c r="F116" s="11" t="s">
        <v>1156</v>
      </c>
    </row>
    <row r="117" spans="1:17" x14ac:dyDescent="0.3">
      <c r="E117" s="16"/>
    </row>
    <row r="118" spans="1:17" x14ac:dyDescent="0.3">
      <c r="B118" s="638" t="s">
        <v>1240</v>
      </c>
      <c r="C118" s="639"/>
      <c r="D118" s="639"/>
      <c r="E118" s="639"/>
      <c r="F118" s="772"/>
      <c r="G118" s="723">
        <f>IFERROR(E115/E116,0)</f>
        <v>0</v>
      </c>
      <c r="H118" s="724"/>
      <c r="I118" s="725"/>
      <c r="J118" s="11" t="s">
        <v>1156</v>
      </c>
    </row>
    <row r="119" spans="1:17" x14ac:dyDescent="0.3">
      <c r="B119" s="638" t="s">
        <v>1159</v>
      </c>
      <c r="C119" s="639"/>
      <c r="D119" s="639"/>
      <c r="E119" s="639"/>
      <c r="F119" s="772"/>
      <c r="G119" s="788" t="s">
        <v>1241</v>
      </c>
      <c r="H119" s="789"/>
      <c r="I119" s="789"/>
      <c r="J119" s="789"/>
      <c r="K119" s="789"/>
      <c r="L119" s="789"/>
      <c r="M119" s="789"/>
      <c r="N119" s="789"/>
      <c r="O119" s="789"/>
      <c r="P119" s="789"/>
      <c r="Q119" s="790"/>
    </row>
    <row r="120" spans="1:17" x14ac:dyDescent="0.3">
      <c r="G120" s="41"/>
      <c r="H120" s="41"/>
      <c r="I120" s="41"/>
      <c r="J120" s="41"/>
      <c r="K120" s="41"/>
      <c r="L120" s="41"/>
      <c r="M120" s="41"/>
      <c r="N120" s="41"/>
      <c r="O120" s="41"/>
      <c r="P120" s="41"/>
      <c r="Q120" s="41"/>
    </row>
    <row r="122" spans="1:17" x14ac:dyDescent="0.3">
      <c r="A122" s="645" t="s">
        <v>1242</v>
      </c>
      <c r="B122" s="646"/>
      <c r="C122" s="646"/>
      <c r="D122" s="646"/>
      <c r="E122" s="646"/>
      <c r="F122" s="646"/>
      <c r="G122" s="646"/>
      <c r="H122" s="646"/>
      <c r="I122" s="646"/>
      <c r="J122" s="646"/>
      <c r="K122" s="646"/>
      <c r="L122" s="646"/>
      <c r="M122" s="646"/>
      <c r="N122" s="646"/>
      <c r="O122" s="646"/>
      <c r="P122" s="646"/>
      <c r="Q122" s="646"/>
    </row>
    <row r="123" spans="1:17" ht="15" thickBot="1" x14ac:dyDescent="0.35"/>
    <row r="124" spans="1:17" ht="15" thickBot="1" x14ac:dyDescent="0.35">
      <c r="B124" t="s">
        <v>1352</v>
      </c>
      <c r="E124" s="55">
        <f>ROUND(E11,2)</f>
        <v>0</v>
      </c>
      <c r="F124" s="791" t="s">
        <v>1244</v>
      </c>
      <c r="G124" s="792"/>
      <c r="H124" s="792"/>
    </row>
    <row r="126" spans="1:17" x14ac:dyDescent="0.3">
      <c r="B126" s="649" t="s">
        <v>1581</v>
      </c>
      <c r="C126" s="650"/>
      <c r="D126" s="650"/>
      <c r="E126" s="650"/>
      <c r="F126" s="650"/>
      <c r="G126" s="650"/>
      <c r="H126" s="650"/>
      <c r="I126" s="650"/>
      <c r="J126" s="650"/>
      <c r="K126" s="650"/>
      <c r="L126" s="650"/>
      <c r="M126" s="650"/>
      <c r="N126" s="650"/>
      <c r="O126" s="650"/>
      <c r="P126" s="650"/>
      <c r="Q126" s="650"/>
    </row>
    <row r="127" spans="1:17" ht="15" thickBot="1" x14ac:dyDescent="0.35"/>
    <row r="128" spans="1:17" ht="15" customHeight="1" x14ac:dyDescent="0.3">
      <c r="B128" s="601" t="s">
        <v>1769</v>
      </c>
      <c r="C128" s="602"/>
      <c r="D128" s="602"/>
      <c r="E128" s="602"/>
      <c r="F128" s="602"/>
      <c r="G128" s="602"/>
      <c r="H128" s="602"/>
      <c r="I128" s="602"/>
      <c r="J128" s="602"/>
      <c r="K128" s="602"/>
      <c r="L128" s="602"/>
      <c r="M128" s="602"/>
      <c r="N128" s="602"/>
      <c r="O128" s="602"/>
      <c r="P128" s="602"/>
      <c r="Q128" s="603"/>
    </row>
    <row r="129" spans="2:17" x14ac:dyDescent="0.3">
      <c r="B129" s="604"/>
      <c r="C129" s="605"/>
      <c r="D129" s="605"/>
      <c r="E129" s="605"/>
      <c r="F129" s="605"/>
      <c r="G129" s="605"/>
      <c r="H129" s="605"/>
      <c r="I129" s="605"/>
      <c r="J129" s="605"/>
      <c r="K129" s="605"/>
      <c r="L129" s="605"/>
      <c r="M129" s="605"/>
      <c r="N129" s="605"/>
      <c r="O129" s="605"/>
      <c r="P129" s="605"/>
      <c r="Q129" s="606"/>
    </row>
    <row r="130" spans="2:17" x14ac:dyDescent="0.3">
      <c r="B130" s="604"/>
      <c r="C130" s="605"/>
      <c r="D130" s="605"/>
      <c r="E130" s="605"/>
      <c r="F130" s="605"/>
      <c r="G130" s="605"/>
      <c r="H130" s="605"/>
      <c r="I130" s="605"/>
      <c r="J130" s="605"/>
      <c r="K130" s="605"/>
      <c r="L130" s="605"/>
      <c r="M130" s="605"/>
      <c r="N130" s="605"/>
      <c r="O130" s="605"/>
      <c r="P130" s="605"/>
      <c r="Q130" s="606"/>
    </row>
    <row r="131" spans="2:17" ht="15" thickBot="1" x14ac:dyDescent="0.35">
      <c r="B131" s="607"/>
      <c r="C131" s="608"/>
      <c r="D131" s="608"/>
      <c r="E131" s="608"/>
      <c r="F131" s="608"/>
      <c r="G131" s="608"/>
      <c r="H131" s="608"/>
      <c r="I131" s="608"/>
      <c r="J131" s="608"/>
      <c r="K131" s="608"/>
      <c r="L131" s="608"/>
      <c r="M131" s="608"/>
      <c r="N131" s="608"/>
      <c r="O131" s="608"/>
      <c r="P131" s="608"/>
      <c r="Q131" s="609"/>
    </row>
    <row r="132" spans="2:17" ht="15" thickBot="1" x14ac:dyDescent="0.35">
      <c r="B132" s="849" t="s">
        <v>33</v>
      </c>
      <c r="C132" s="849"/>
      <c r="D132" s="849"/>
      <c r="E132" s="185" t="s">
        <v>33</v>
      </c>
      <c r="F132" s="185" t="s">
        <v>33</v>
      </c>
    </row>
    <row r="133" spans="2:17" ht="15" customHeight="1" x14ac:dyDescent="0.3">
      <c r="B133" s="793" t="s">
        <v>1246</v>
      </c>
      <c r="C133" s="794"/>
      <c r="D133" s="795"/>
      <c r="E133" s="617" t="s">
        <v>1353</v>
      </c>
      <c r="F133" s="617" t="s">
        <v>1354</v>
      </c>
      <c r="G133" s="802"/>
      <c r="H133" s="710"/>
      <c r="I133" s="710"/>
      <c r="J133" s="710"/>
      <c r="K133" s="44"/>
    </row>
    <row r="134" spans="2:17" ht="48" customHeight="1" thickBot="1" x14ac:dyDescent="0.35">
      <c r="B134" s="796"/>
      <c r="C134" s="797"/>
      <c r="D134" s="798"/>
      <c r="E134" s="799"/>
      <c r="F134" s="618"/>
      <c r="G134" s="74"/>
      <c r="H134" s="79"/>
      <c r="I134" s="79"/>
      <c r="J134" s="79"/>
      <c r="K134" s="44"/>
    </row>
    <row r="135" spans="2:17" x14ac:dyDescent="0.3">
      <c r="B135" s="806"/>
      <c r="C135" s="807"/>
      <c r="D135" s="807"/>
      <c r="E135" s="250"/>
      <c r="F135" s="264">
        <v>0</v>
      </c>
      <c r="G135" s="679" t="s">
        <v>1249</v>
      </c>
      <c r="H135" s="808"/>
      <c r="I135" s="808"/>
      <c r="J135" s="79"/>
      <c r="K135" s="44"/>
      <c r="L135" s="2" t="s">
        <v>1355</v>
      </c>
    </row>
    <row r="136" spans="2:17" x14ac:dyDescent="0.3">
      <c r="B136" s="804"/>
      <c r="C136" s="805"/>
      <c r="D136" s="805"/>
      <c r="E136" s="250"/>
      <c r="F136" s="264">
        <v>0</v>
      </c>
      <c r="G136" s="802" t="str">
        <f>IF(E154&lt;&gt;'Generieke input'!G36,"De totale capaciteit voor de vermelde dagprijzen stemt niet overeen met de capaciteit in de generieke input, cel G36","")</f>
        <v/>
      </c>
      <c r="H136" s="812"/>
      <c r="I136" s="812"/>
      <c r="J136" s="812"/>
      <c r="K136" s="812"/>
      <c r="L136" s="812"/>
      <c r="M136" s="99"/>
      <c r="N136" s="99"/>
      <c r="O136" s="99"/>
    </row>
    <row r="137" spans="2:17" x14ac:dyDescent="0.3">
      <c r="B137" s="804"/>
      <c r="C137" s="805"/>
      <c r="D137" s="805"/>
      <c r="E137" s="250"/>
      <c r="F137" s="264">
        <v>0</v>
      </c>
      <c r="G137" s="813" t="str">
        <f>IFERROR(IF(F154&gt;E124, "De gemiddelde prijs  ligt hoger dan de verantwoorde prijs .Pas de prijs van 1 of meerdere kamertypes aan.",""),"")</f>
        <v/>
      </c>
      <c r="H137" s="813"/>
      <c r="I137" s="813"/>
      <c r="J137" s="813"/>
      <c r="K137" s="813"/>
    </row>
    <row r="138" spans="2:17" x14ac:dyDescent="0.3">
      <c r="B138" s="804"/>
      <c r="C138" s="805"/>
      <c r="D138" s="805"/>
      <c r="E138" s="250"/>
      <c r="F138" s="264">
        <v>0</v>
      </c>
      <c r="G138" s="803"/>
      <c r="H138" s="803"/>
      <c r="I138" s="803"/>
      <c r="J138" s="803"/>
      <c r="K138" s="803"/>
    </row>
    <row r="139" spans="2:17" x14ac:dyDescent="0.3">
      <c r="B139" s="804"/>
      <c r="C139" s="805"/>
      <c r="D139" s="805"/>
      <c r="E139" s="250"/>
      <c r="F139" s="264">
        <v>0</v>
      </c>
      <c r="G139" s="792"/>
      <c r="H139" s="792"/>
      <c r="I139" s="792"/>
      <c r="J139" s="792"/>
      <c r="K139" s="792"/>
    </row>
    <row r="140" spans="2:17" x14ac:dyDescent="0.3">
      <c r="B140" s="804"/>
      <c r="C140" s="805"/>
      <c r="D140" s="805"/>
      <c r="E140" s="250"/>
      <c r="F140" s="264">
        <v>0</v>
      </c>
    </row>
    <row r="141" spans="2:17" x14ac:dyDescent="0.3">
      <c r="B141" s="804"/>
      <c r="C141" s="805"/>
      <c r="D141" s="805"/>
      <c r="E141" s="250"/>
      <c r="F141" s="264">
        <v>0</v>
      </c>
      <c r="G141" s="786"/>
      <c r="H141" s="786"/>
      <c r="I141" s="786"/>
      <c r="J141" s="786"/>
      <c r="K141" s="786"/>
      <c r="L141" s="786"/>
      <c r="M141" s="68"/>
      <c r="N141" s="68"/>
      <c r="O141" s="68"/>
    </row>
    <row r="142" spans="2:17" x14ac:dyDescent="0.3">
      <c r="B142" s="804"/>
      <c r="C142" s="805"/>
      <c r="D142" s="805"/>
      <c r="E142" s="250"/>
      <c r="F142" s="264">
        <v>0</v>
      </c>
      <c r="G142" s="786"/>
      <c r="H142" s="786"/>
      <c r="I142" s="786"/>
      <c r="J142" s="786"/>
      <c r="K142" s="786"/>
      <c r="L142" s="786"/>
      <c r="M142" s="68"/>
      <c r="N142" s="68"/>
      <c r="O142" s="68"/>
    </row>
    <row r="143" spans="2:17" x14ac:dyDescent="0.3">
      <c r="B143" s="804"/>
      <c r="C143" s="805"/>
      <c r="D143" s="805"/>
      <c r="E143" s="250"/>
      <c r="F143" s="264">
        <v>0</v>
      </c>
      <c r="G143" s="43"/>
      <c r="H143" s="43"/>
      <c r="I143" s="43"/>
      <c r="J143" s="43"/>
      <c r="K143" s="43"/>
      <c r="L143" s="43"/>
      <c r="M143" s="43"/>
      <c r="N143" s="43"/>
      <c r="O143" s="43"/>
    </row>
    <row r="144" spans="2:17" x14ac:dyDescent="0.3">
      <c r="B144" s="804"/>
      <c r="C144" s="805"/>
      <c r="D144" s="805"/>
      <c r="E144" s="250"/>
      <c r="F144" s="264">
        <v>0</v>
      </c>
      <c r="G144" s="786"/>
      <c r="H144" s="816"/>
      <c r="I144" s="816"/>
      <c r="J144" s="43"/>
      <c r="K144" s="43"/>
      <c r="L144" s="43"/>
      <c r="M144" s="43"/>
      <c r="N144" s="43"/>
      <c r="O144" s="43"/>
    </row>
    <row r="145" spans="2:17" x14ac:dyDescent="0.3">
      <c r="B145" s="804"/>
      <c r="C145" s="805"/>
      <c r="D145" s="805"/>
      <c r="E145" s="250"/>
      <c r="F145" s="264">
        <v>0</v>
      </c>
      <c r="G145" s="816"/>
      <c r="H145" s="816"/>
      <c r="I145" s="816"/>
    </row>
    <row r="146" spans="2:17" x14ac:dyDescent="0.3">
      <c r="B146" s="804"/>
      <c r="C146" s="805"/>
      <c r="D146" s="805"/>
      <c r="E146" s="250"/>
      <c r="F146" s="264">
        <v>0</v>
      </c>
      <c r="G146" s="816"/>
      <c r="H146" s="816"/>
      <c r="I146" s="816"/>
    </row>
    <row r="147" spans="2:17" x14ac:dyDescent="0.3">
      <c r="B147" s="804"/>
      <c r="C147" s="805"/>
      <c r="D147" s="805"/>
      <c r="E147" s="250"/>
      <c r="F147" s="264">
        <v>0</v>
      </c>
    </row>
    <row r="148" spans="2:17" x14ac:dyDescent="0.3">
      <c r="B148" s="804"/>
      <c r="C148" s="805"/>
      <c r="D148" s="805"/>
      <c r="E148" s="250"/>
      <c r="F148" s="264">
        <v>0</v>
      </c>
    </row>
    <row r="149" spans="2:17" x14ac:dyDescent="0.3">
      <c r="B149" s="804"/>
      <c r="C149" s="805"/>
      <c r="D149" s="805"/>
      <c r="E149" s="250"/>
      <c r="F149" s="264">
        <v>0</v>
      </c>
    </row>
    <row r="150" spans="2:17" x14ac:dyDescent="0.3">
      <c r="B150" s="804"/>
      <c r="C150" s="805"/>
      <c r="D150" s="805"/>
      <c r="E150" s="250"/>
      <c r="F150" s="264">
        <v>0</v>
      </c>
    </row>
    <row r="151" spans="2:17" x14ac:dyDescent="0.3">
      <c r="B151" s="804"/>
      <c r="C151" s="805"/>
      <c r="D151" s="805"/>
      <c r="E151" s="250"/>
      <c r="F151" s="264">
        <v>0</v>
      </c>
    </row>
    <row r="152" spans="2:17" x14ac:dyDescent="0.3">
      <c r="B152" s="804"/>
      <c r="C152" s="805"/>
      <c r="D152" s="805"/>
      <c r="E152" s="250"/>
      <c r="F152" s="264">
        <v>0</v>
      </c>
    </row>
    <row r="153" spans="2:17" ht="15" thickBot="1" x14ac:dyDescent="0.35">
      <c r="B153" s="814"/>
      <c r="C153" s="815"/>
      <c r="D153" s="815"/>
      <c r="E153" s="288"/>
      <c r="F153" s="264">
        <v>0</v>
      </c>
    </row>
    <row r="154" spans="2:17" ht="15" thickBot="1" x14ac:dyDescent="0.35">
      <c r="B154" s="817" t="s">
        <v>1251</v>
      </c>
      <c r="C154" s="818"/>
      <c r="D154" s="819"/>
      <c r="E154" s="45">
        <f>SUM(E135:E153)</f>
        <v>0</v>
      </c>
      <c r="F154" s="46">
        <f t="array" ref="F154">SUM(E135:E153*F135:F153)/IF(E154&gt;0,E154,1)</f>
        <v>0</v>
      </c>
    </row>
    <row r="155" spans="2:17" x14ac:dyDescent="0.3">
      <c r="B155" s="42"/>
      <c r="C155" s="42"/>
      <c r="D155" s="42"/>
      <c r="F155" s="44"/>
    </row>
    <row r="156" spans="2:17" ht="17.25" customHeight="1" x14ac:dyDescent="0.3">
      <c r="B156" s="649" t="s">
        <v>1356</v>
      </c>
      <c r="C156" s="650"/>
      <c r="D156" s="650"/>
      <c r="E156" s="650"/>
      <c r="F156" s="650"/>
      <c r="G156" s="650"/>
      <c r="H156" s="650"/>
      <c r="I156" s="650"/>
      <c r="J156" s="650"/>
      <c r="K156" s="650"/>
      <c r="L156" s="650"/>
      <c r="M156" s="650"/>
      <c r="N156" s="650"/>
      <c r="O156" s="650"/>
      <c r="P156" s="650"/>
      <c r="Q156" s="820"/>
    </row>
    <row r="157" spans="2:17" ht="17.25" customHeight="1" thickBot="1" x14ac:dyDescent="0.35"/>
    <row r="158" spans="2:17" ht="17.25" customHeight="1" x14ac:dyDescent="0.3">
      <c r="B158" s="601" t="s">
        <v>1739</v>
      </c>
      <c r="C158" s="602"/>
      <c r="D158" s="602"/>
      <c r="E158" s="602"/>
      <c r="F158" s="602"/>
      <c r="G158" s="602"/>
      <c r="H158" s="602"/>
      <c r="I158" s="602"/>
      <c r="J158" s="602"/>
      <c r="K158" s="602"/>
      <c r="L158" s="602"/>
      <c r="M158" s="602"/>
      <c r="N158" s="602"/>
      <c r="O158" s="602"/>
      <c r="P158" s="602"/>
      <c r="Q158" s="603"/>
    </row>
    <row r="159" spans="2:17" ht="17.25" customHeight="1" x14ac:dyDescent="0.3">
      <c r="B159" s="604"/>
      <c r="C159" s="605"/>
      <c r="D159" s="605"/>
      <c r="E159" s="605"/>
      <c r="F159" s="605"/>
      <c r="G159" s="605"/>
      <c r="H159" s="605"/>
      <c r="I159" s="605"/>
      <c r="J159" s="605"/>
      <c r="K159" s="605"/>
      <c r="L159" s="605"/>
      <c r="M159" s="605"/>
      <c r="N159" s="605"/>
      <c r="O159" s="605"/>
      <c r="P159" s="605"/>
      <c r="Q159" s="606"/>
    </row>
    <row r="160" spans="2:17" ht="17.25" customHeight="1" x14ac:dyDescent="0.3">
      <c r="B160" s="604"/>
      <c r="C160" s="605"/>
      <c r="D160" s="605"/>
      <c r="E160" s="605"/>
      <c r="F160" s="605"/>
      <c r="G160" s="605"/>
      <c r="H160" s="605"/>
      <c r="I160" s="605"/>
      <c r="J160" s="605"/>
      <c r="K160" s="605"/>
      <c r="L160" s="605"/>
      <c r="M160" s="605"/>
      <c r="N160" s="605"/>
      <c r="O160" s="605"/>
      <c r="P160" s="605"/>
      <c r="Q160" s="606"/>
    </row>
    <row r="161" spans="2:26" ht="17.25" customHeight="1" thickBot="1" x14ac:dyDescent="0.35">
      <c r="B161" s="607"/>
      <c r="C161" s="608"/>
      <c r="D161" s="608"/>
      <c r="E161" s="608"/>
      <c r="F161" s="608"/>
      <c r="G161" s="608"/>
      <c r="H161" s="608"/>
      <c r="I161" s="608"/>
      <c r="J161" s="608"/>
      <c r="K161" s="608"/>
      <c r="L161" s="608"/>
      <c r="M161" s="608"/>
      <c r="N161" s="608"/>
      <c r="O161" s="608"/>
      <c r="P161" s="608"/>
      <c r="Q161" s="609"/>
    </row>
    <row r="162" spans="2:26" ht="17.25" customHeight="1" x14ac:dyDescent="0.3">
      <c r="B162" s="76"/>
      <c r="C162" s="76"/>
      <c r="D162" s="76"/>
      <c r="E162" s="76"/>
      <c r="F162" s="76"/>
      <c r="G162" s="76"/>
      <c r="H162" s="76"/>
      <c r="I162" s="76"/>
      <c r="J162" s="76"/>
      <c r="K162" s="76"/>
      <c r="L162" s="76"/>
      <c r="M162" s="76"/>
      <c r="N162" s="76"/>
      <c r="O162" s="76"/>
      <c r="P162" s="76"/>
      <c r="Q162" s="76"/>
    </row>
    <row r="163" spans="2:26" ht="13.65" customHeight="1" thickBot="1" x14ac:dyDescent="0.35">
      <c r="B163" s="615" t="s">
        <v>33</v>
      </c>
      <c r="C163" s="615"/>
      <c r="D163" s="615"/>
      <c r="E163" s="185" t="s">
        <v>33</v>
      </c>
      <c r="F163" s="185" t="s">
        <v>33</v>
      </c>
      <c r="G163" s="185" t="s">
        <v>33</v>
      </c>
      <c r="H163" s="850" t="s">
        <v>1357</v>
      </c>
      <c r="I163" s="850"/>
      <c r="J163" s="850"/>
      <c r="K163" s="851"/>
    </row>
    <row r="164" spans="2:26" ht="13.65" customHeight="1" x14ac:dyDescent="0.3">
      <c r="B164" s="793" t="s">
        <v>1253</v>
      </c>
      <c r="C164" s="794"/>
      <c r="D164" s="795"/>
      <c r="E164" s="617" t="s">
        <v>1353</v>
      </c>
      <c r="F164" s="837" t="s">
        <v>1857</v>
      </c>
      <c r="G164" s="617" t="s">
        <v>1358</v>
      </c>
      <c r="H164" s="872" t="s">
        <v>1359</v>
      </c>
      <c r="I164" s="853" t="s">
        <v>1254</v>
      </c>
      <c r="J164" s="854"/>
      <c r="K164" s="854"/>
      <c r="L164" s="525"/>
      <c r="M164" s="525"/>
      <c r="N164" s="855"/>
    </row>
    <row r="165" spans="2:26" ht="74.25" customHeight="1" thickBot="1" x14ac:dyDescent="0.35">
      <c r="B165" s="821"/>
      <c r="C165" s="822"/>
      <c r="D165" s="823"/>
      <c r="E165" s="618"/>
      <c r="F165" s="838"/>
      <c r="G165" s="618"/>
      <c r="H165" s="873"/>
      <c r="I165" s="856"/>
      <c r="J165" s="857"/>
      <c r="K165" s="857"/>
      <c r="L165" s="528"/>
      <c r="M165" s="528"/>
      <c r="N165" s="858"/>
      <c r="O165" s="18"/>
    </row>
    <row r="166" spans="2:26" x14ac:dyDescent="0.3">
      <c r="B166" s="869"/>
      <c r="C166" s="870"/>
      <c r="D166" s="871"/>
      <c r="E166" s="289"/>
      <c r="F166" s="266">
        <v>0</v>
      </c>
      <c r="G166" s="266">
        <v>0</v>
      </c>
      <c r="H166" s="395">
        <f t="shared" ref="H166:H184" si="9">IF(F166=0,G166,MIN(F166:G166))</f>
        <v>0</v>
      </c>
      <c r="I166" s="859" t="str">
        <f>IF(G166&gt;0,IF(F166=0,"De dagprijs stijgt niet in het eerste jaar en kan daarna elke 6 maand met max. "&amp; 'Parameters+keuzes'!$C$48 &amp;" euro worden verhoogd tot de goedgekeurde prijs bereikt is.", "De dagprijs kan  bij ingebruikname met max. "&amp; 'Parameters+keuzes'!$B$48&amp;" euro stijgen en kan daarna ten vroegste elke 6 maand met maximaal "&amp;  'Parameters+keuzes'!$B$48 &amp; " euro worden verhoogd tot de goedgekeurde prijs bereikt is."),"")</f>
        <v/>
      </c>
      <c r="J166" s="859"/>
      <c r="K166" s="859"/>
      <c r="L166" s="859"/>
      <c r="M166" s="859"/>
      <c r="N166" s="859"/>
      <c r="O166" s="792" t="s">
        <v>1249</v>
      </c>
      <c r="P166" s="792"/>
      <c r="Q166" s="792"/>
      <c r="R166" s="792"/>
      <c r="S166" s="792"/>
      <c r="T166" s="792"/>
    </row>
    <row r="167" spans="2:26" ht="14.4" customHeight="1" x14ac:dyDescent="0.3">
      <c r="B167" s="809"/>
      <c r="C167" s="810"/>
      <c r="D167" s="811"/>
      <c r="E167" s="290"/>
      <c r="F167" s="268">
        <v>0</v>
      </c>
      <c r="G167" s="268">
        <v>0</v>
      </c>
      <c r="H167" s="395">
        <f t="shared" si="9"/>
        <v>0</v>
      </c>
      <c r="I167" s="852" t="str">
        <f>IF(G167&gt;0,IF(F167=0,"De dagprijs stijgt niet in het eerste jaar en kan daarna elke 6 maand met max. "&amp; 'Parameters+keuzes'!$C$48 &amp;" euro worden verhoogd tot de goedgekeurde prijs bereikt is.", "De dagprijs kan  bij ingebruikname met max. "&amp; 'Parameters+keuzes'!$B$48&amp;" euro stijgen en kan daarna ten vroegste elke 6 maand met maximaal "&amp;  'Parameters+keuzes'!$B$48 &amp; " euro worden verhoogd tot de goedgekeurde prijs bereikt is."),"")</f>
        <v/>
      </c>
      <c r="J167" s="852"/>
      <c r="K167" s="852"/>
      <c r="L167" s="852"/>
      <c r="M167" s="852"/>
      <c r="N167" s="852"/>
      <c r="O167" s="2" t="str">
        <f>IF(E185&gt;erkende_plaatsen1,"De capaciteit van de bestaande bewoners kan niet hoger zijn dan de capaciteit voor het forfait zoals vermeld in de generieke input","")</f>
        <v/>
      </c>
    </row>
    <row r="168" spans="2:26" ht="13.95" x14ac:dyDescent="0.3">
      <c r="B168" s="809"/>
      <c r="C168" s="810"/>
      <c r="D168" s="811"/>
      <c r="E168" s="290"/>
      <c r="F168" s="268">
        <v>0</v>
      </c>
      <c r="G168" s="268">
        <v>0</v>
      </c>
      <c r="H168" s="395">
        <f t="shared" si="9"/>
        <v>0</v>
      </c>
      <c r="I168" s="852" t="str">
        <f>IF(G168&gt;0,IF(F168=0,"De dagprijs stijgt niet in het eerste jaar en kan daarna elke 6 maand met max. "&amp; 'Parameters+keuzes'!$C$48 &amp;" euro worden verhoogd tot de goedgekeurde prijs bereikt is.", "De dagprijs kan  bij ingebruikname met max. "&amp; 'Parameters+keuzes'!$B$48&amp;" euro stijgen en kan daarna ten vroegste elke 6 maand met maximaal "&amp;  'Parameters+keuzes'!$B$48 &amp; " euro worden verhoogd tot de goedgekeurde prijs bereikt is."),"")</f>
        <v/>
      </c>
      <c r="J168" s="852"/>
      <c r="K168" s="852"/>
      <c r="L168" s="852"/>
      <c r="M168" s="852"/>
      <c r="N168" s="852"/>
      <c r="O168" s="2" t="str">
        <f>IFERROR(IF(H185&gt;E124, "De gemiddelde goedgekeurde prijs ligt hoger dan de verantwoorde prijs.Pas de prijs van 1 of meerdere kamertypes aan.",""),"")</f>
        <v/>
      </c>
      <c r="Z168" t="s">
        <v>1255</v>
      </c>
    </row>
    <row r="169" spans="2:26" ht="13.95" x14ac:dyDescent="0.3">
      <c r="B169" s="809"/>
      <c r="C169" s="810"/>
      <c r="D169" s="811"/>
      <c r="E169" s="290"/>
      <c r="F169" s="268">
        <v>0</v>
      </c>
      <c r="G169" s="268">
        <v>0</v>
      </c>
      <c r="H169" s="395">
        <f t="shared" si="9"/>
        <v>0</v>
      </c>
      <c r="I169" s="852" t="str">
        <f>IF(G169&gt;0,IF(F169=0,"De dagprijs stijgt niet in het eerste jaar en kan daarna elke 6 maand met max. "&amp; 'Parameters+keuzes'!$C$48 &amp;" euro worden verhoogd tot de goedgekeurde prijs bereikt is.", "De dagprijs kan  bij ingebruikname met max. "&amp; 'Parameters+keuzes'!$B$48&amp;" euro stijgen en kan daarna ten vroegste elke 6 maand met maximaal "&amp;  'Parameters+keuzes'!$B$48 &amp; " euro worden verhoogd tot de goedgekeurde prijs bereikt is."),"")</f>
        <v/>
      </c>
      <c r="J169" s="852"/>
      <c r="K169" s="852"/>
      <c r="L169" s="852"/>
      <c r="M169" s="852"/>
      <c r="N169" s="852"/>
      <c r="Z169" t="s">
        <v>1256</v>
      </c>
    </row>
    <row r="170" spans="2:26" ht="13.95" x14ac:dyDescent="0.3">
      <c r="B170" s="809"/>
      <c r="C170" s="810"/>
      <c r="D170" s="811"/>
      <c r="E170" s="290"/>
      <c r="F170" s="268">
        <v>0</v>
      </c>
      <c r="G170" s="268">
        <v>0</v>
      </c>
      <c r="H170" s="395">
        <f t="shared" si="9"/>
        <v>0</v>
      </c>
      <c r="I170" s="852" t="str">
        <f>IF(G170&gt;0,IF(F170=0,"De dagprijs stijgt niet in het eerste jaar en kan daarna elke 6 maand met max. "&amp; 'Parameters+keuzes'!$C$48 &amp;" euro worden verhoogd tot de goedgekeurde prijs bereikt is.", "De dagprijs kan  bij ingebruikname met max. "&amp; 'Parameters+keuzes'!$B$48&amp;" euro stijgen en kan daarna ten vroegste elke 6 maand met maximaal "&amp;  'Parameters+keuzes'!$B$48 &amp; " euro worden verhoogd tot de goedgekeurde prijs bereikt is."),"")</f>
        <v/>
      </c>
      <c r="J170" s="852"/>
      <c r="K170" s="852"/>
      <c r="L170" s="852"/>
      <c r="M170" s="852"/>
      <c r="N170" s="852"/>
      <c r="O170" s="792"/>
      <c r="P170" s="792"/>
      <c r="Q170" s="792"/>
      <c r="R170" s="792"/>
      <c r="S170" s="792"/>
      <c r="T170" s="792"/>
    </row>
    <row r="171" spans="2:26" ht="13.95" x14ac:dyDescent="0.3">
      <c r="B171" s="809"/>
      <c r="C171" s="810"/>
      <c r="D171" s="811"/>
      <c r="E171" s="290"/>
      <c r="F171" s="268">
        <v>0</v>
      </c>
      <c r="G171" s="268">
        <v>0</v>
      </c>
      <c r="H171" s="395">
        <f t="shared" si="9"/>
        <v>0</v>
      </c>
      <c r="I171" s="852" t="str">
        <f>IF(G171&gt;0,IF(F171=0,"De dagprijs stijgt niet in het eerste jaar en kan daarna elke 6 maand met max. "&amp; 'Parameters+keuzes'!$C$48 &amp;" euro worden verhoogd tot de goedgekeurde prijs bereikt is.", "De dagprijs kan  bij ingebruikname met max. "&amp; 'Parameters+keuzes'!$B$48&amp;" euro stijgen en kan daarna ten vroegste elke 6 maand met maximaal "&amp;  'Parameters+keuzes'!$B$48 &amp; " euro worden verhoogd tot de goedgekeurde prijs bereikt is."),"")</f>
        <v/>
      </c>
      <c r="J171" s="852"/>
      <c r="K171" s="852"/>
      <c r="L171" s="852"/>
      <c r="M171" s="852"/>
      <c r="N171" s="852"/>
    </row>
    <row r="172" spans="2:26" x14ac:dyDescent="0.3">
      <c r="B172" s="809"/>
      <c r="C172" s="810"/>
      <c r="D172" s="811"/>
      <c r="E172" s="290"/>
      <c r="F172" s="268">
        <v>0</v>
      </c>
      <c r="G172" s="268">
        <v>0</v>
      </c>
      <c r="H172" s="395">
        <f t="shared" si="9"/>
        <v>0</v>
      </c>
      <c r="I172" s="852" t="str">
        <f>IF(G172&gt;0,IF(F172=0,"De dagprijs stijgt niet in het eerste jaar en kan daarna elke 6 maand met max. "&amp; 'Parameters+keuzes'!$C$48 &amp;" euro worden verhoogd tot de goedgekeurde prijs bereikt is.", "De dagprijs kan  bij ingebruikname met max. "&amp; 'Parameters+keuzes'!$B$48&amp;" euro stijgen en kan daarna ten vroegste elke 6 maand met maximaal "&amp;  'Parameters+keuzes'!$B$48 &amp; " euro worden verhoogd tot de goedgekeurde prijs bereikt is."),"")</f>
        <v/>
      </c>
      <c r="J172" s="852"/>
      <c r="K172" s="852"/>
      <c r="L172" s="852"/>
      <c r="M172" s="852"/>
      <c r="N172" s="852"/>
      <c r="O172" s="786"/>
      <c r="P172" s="786"/>
      <c r="Q172" s="786"/>
      <c r="R172" s="786"/>
      <c r="S172" s="786"/>
      <c r="T172" s="786"/>
      <c r="U172" s="786"/>
    </row>
    <row r="173" spans="2:26" ht="36" customHeight="1" x14ac:dyDescent="0.3">
      <c r="B173" s="809"/>
      <c r="C173" s="810"/>
      <c r="D173" s="811"/>
      <c r="E173" s="290"/>
      <c r="F173" s="268">
        <v>0</v>
      </c>
      <c r="G173" s="268">
        <v>0</v>
      </c>
      <c r="H173" s="395">
        <f t="shared" si="9"/>
        <v>0</v>
      </c>
      <c r="I173" s="852" t="str">
        <f>IF(G173&gt;0,IF(F173=0,"De dagprijs stijgt niet in het eerste jaar en kan daarna elke 6 maand met max. "&amp; 'Parameters+keuzes'!$C$48 &amp;" euro worden verhoogd tot de goedgekeurde prijs bereikt is.", "De dagprijs kan  bij ingebruikname met max. "&amp; 'Parameters+keuzes'!$B$48&amp;" euro stijgen en kan daarna ten vroegste elke 6 maand met maximaal "&amp;  'Parameters+keuzes'!$B$48 &amp; " euro worden verhoogd tot de goedgekeurde prijs bereikt is."),"")</f>
        <v/>
      </c>
      <c r="J173" s="852"/>
      <c r="K173" s="852"/>
      <c r="L173" s="852"/>
      <c r="M173" s="852"/>
      <c r="N173" s="852"/>
      <c r="O173" s="786"/>
      <c r="P173" s="786"/>
      <c r="Q173" s="786"/>
      <c r="R173" s="786"/>
      <c r="S173" s="786"/>
      <c r="T173" s="786"/>
      <c r="U173" s="786"/>
    </row>
    <row r="174" spans="2:26" ht="13.95" x14ac:dyDescent="0.3">
      <c r="B174" s="809"/>
      <c r="C174" s="810"/>
      <c r="D174" s="811"/>
      <c r="E174" s="290"/>
      <c r="F174" s="268">
        <v>0</v>
      </c>
      <c r="G174" s="268">
        <v>0</v>
      </c>
      <c r="H174" s="395">
        <f t="shared" si="9"/>
        <v>0</v>
      </c>
      <c r="I174" s="852" t="str">
        <f>IF(G174&gt;0,IF(F174=0,"De dagprijs stijgt niet in het eerste jaar en kan daarna elke 6 maand met max. "&amp; 'Parameters+keuzes'!$C$48 &amp;" euro worden verhoogd tot de goedgekeurde prijs bereikt is.", "De dagprijs kan  bij ingebruikname met max. "&amp; 'Parameters+keuzes'!$B$48&amp;" euro stijgen en kan daarna ten vroegste elke 6 maand met maximaal "&amp;  'Parameters+keuzes'!$B$48 &amp; " euro worden verhoogd tot de goedgekeurde prijs bereikt is."),"")</f>
        <v/>
      </c>
      <c r="J174" s="852"/>
      <c r="K174" s="852"/>
      <c r="L174" s="852"/>
      <c r="M174" s="852"/>
      <c r="N174" s="852"/>
      <c r="O174" s="43"/>
      <c r="P174" s="43"/>
      <c r="Q174" s="43"/>
      <c r="R174" s="43"/>
    </row>
    <row r="175" spans="2:26" x14ac:dyDescent="0.3">
      <c r="B175" s="809"/>
      <c r="C175" s="810"/>
      <c r="D175" s="811"/>
      <c r="E175" s="290"/>
      <c r="F175" s="268">
        <v>0</v>
      </c>
      <c r="G175" s="268">
        <v>0</v>
      </c>
      <c r="H175" s="395">
        <f t="shared" si="9"/>
        <v>0</v>
      </c>
      <c r="I175" s="852" t="str">
        <f>IF(G175&gt;0,IF(F175=0,"De dagprijs stijgt niet in het eerste jaar en kan daarna elke 6 maand met max. "&amp; 'Parameters+keuzes'!$C$48 &amp;" euro worden verhoogd tot de goedgekeurde prijs bereikt is.", "De dagprijs kan  bij ingebruikname met max. "&amp; 'Parameters+keuzes'!$B$48&amp;" euro stijgen en kan daarna ten vroegste elke 6 maand met maximaal "&amp;  'Parameters+keuzes'!$B$48 &amp; " euro worden verhoogd tot de goedgekeurde prijs bereikt is."),"")</f>
        <v/>
      </c>
      <c r="J175" s="852"/>
      <c r="K175" s="852"/>
      <c r="L175" s="852"/>
      <c r="M175" s="852"/>
      <c r="N175" s="852"/>
      <c r="O175" s="786"/>
      <c r="P175" s="816"/>
      <c r="Q175" s="816"/>
      <c r="R175" s="816"/>
    </row>
    <row r="176" spans="2:26" x14ac:dyDescent="0.3">
      <c r="B176" s="809"/>
      <c r="C176" s="810"/>
      <c r="D176" s="811"/>
      <c r="E176" s="290"/>
      <c r="F176" s="268">
        <v>0</v>
      </c>
      <c r="G176" s="268">
        <v>0</v>
      </c>
      <c r="H176" s="395">
        <f t="shared" si="9"/>
        <v>0</v>
      </c>
      <c r="I176" s="852" t="str">
        <f>IF(G176&gt;0,IF(F176=0,"De dagprijs stijgt niet in het eerste jaar en kan daarna elke 6 maand met max. "&amp; 'Parameters+keuzes'!$C$48 &amp;" euro worden verhoogd tot de goedgekeurde prijs bereikt is.", "De dagprijs kan  bij ingebruikname met max. "&amp; 'Parameters+keuzes'!$B$48&amp;" euro stijgen en kan daarna ten vroegste elke 6 maand met maximaal "&amp;  'Parameters+keuzes'!$B$48 &amp; " euro worden verhoogd tot de goedgekeurde prijs bereikt is."),"")</f>
        <v/>
      </c>
      <c r="J176" s="852"/>
      <c r="K176" s="852"/>
      <c r="L176" s="852"/>
      <c r="M176" s="852"/>
      <c r="N176" s="852"/>
      <c r="O176" s="816"/>
      <c r="P176" s="816"/>
      <c r="Q176" s="816"/>
      <c r="R176" s="816"/>
    </row>
    <row r="177" spans="2:18" x14ac:dyDescent="0.3">
      <c r="B177" s="809"/>
      <c r="C177" s="810"/>
      <c r="D177" s="811"/>
      <c r="E177" s="290"/>
      <c r="F177" s="268">
        <v>0</v>
      </c>
      <c r="G177" s="268">
        <v>0</v>
      </c>
      <c r="H177" s="395">
        <f t="shared" si="9"/>
        <v>0</v>
      </c>
      <c r="I177" s="852" t="str">
        <f>IF(G177&gt;0,IF(F177=0,"De dagprijs stijgt niet in het eerste jaar en kan daarna elke 6 maand met max. "&amp; 'Parameters+keuzes'!$C$48 &amp;" euro worden verhoogd tot de goedgekeurde prijs bereikt is.", "De dagprijs kan  bij ingebruikname met max. "&amp; 'Parameters+keuzes'!$B$48&amp;" euro stijgen en kan daarna ten vroegste elke 6 maand met maximaal "&amp;  'Parameters+keuzes'!$B$48 &amp; " euro worden verhoogd tot de goedgekeurde prijs bereikt is."),"")</f>
        <v/>
      </c>
      <c r="J177" s="852"/>
      <c r="K177" s="852"/>
      <c r="L177" s="852"/>
      <c r="M177" s="852"/>
      <c r="N177" s="852"/>
      <c r="O177" s="816"/>
      <c r="P177" s="816"/>
      <c r="Q177" s="816"/>
      <c r="R177" s="816"/>
    </row>
    <row r="178" spans="2:18" ht="13.95" x14ac:dyDescent="0.3">
      <c r="B178" s="809"/>
      <c r="C178" s="810"/>
      <c r="D178" s="811"/>
      <c r="E178" s="290"/>
      <c r="F178" s="268">
        <v>0</v>
      </c>
      <c r="G178" s="268">
        <v>0</v>
      </c>
      <c r="H178" s="395">
        <f t="shared" si="9"/>
        <v>0</v>
      </c>
      <c r="I178" s="852" t="str">
        <f>IF(G178&gt;0,IF(F178=0,"De dagprijs stijgt niet in het eerste jaar en kan daarna elke 6 maand met max. "&amp; 'Parameters+keuzes'!$C$48 &amp;" euro worden verhoogd tot de goedgekeurde prijs bereikt is.", "De dagprijs kan  bij ingebruikname met max. "&amp; 'Parameters+keuzes'!$B$48&amp;" euro stijgen en kan daarna ten vroegste elke 6 maand met maximaal "&amp;  'Parameters+keuzes'!$B$48 &amp; " euro worden verhoogd tot de goedgekeurde prijs bereikt is."),"")</f>
        <v/>
      </c>
      <c r="J178" s="852"/>
      <c r="K178" s="852"/>
      <c r="L178" s="852"/>
      <c r="M178" s="852"/>
      <c r="N178" s="852"/>
    </row>
    <row r="179" spans="2:18" ht="13.95" x14ac:dyDescent="0.3">
      <c r="B179" s="809"/>
      <c r="C179" s="810"/>
      <c r="D179" s="811"/>
      <c r="E179" s="290"/>
      <c r="F179" s="268">
        <v>0</v>
      </c>
      <c r="G179" s="268">
        <v>0</v>
      </c>
      <c r="H179" s="395">
        <f t="shared" si="9"/>
        <v>0</v>
      </c>
      <c r="I179" s="852" t="str">
        <f>IF(G179&gt;0,IF(F179=0,"De dagprijs stijgt niet in het eerste jaar en kan daarna elke 6 maand met max. "&amp; 'Parameters+keuzes'!$C$48 &amp;" euro worden verhoogd tot de goedgekeurde prijs bereikt is.", "De dagprijs kan  bij ingebruikname met max. "&amp; 'Parameters+keuzes'!$B$48&amp;" euro stijgen en kan daarna ten vroegste elke 6 maand met maximaal "&amp;  'Parameters+keuzes'!$B$48 &amp; " euro worden verhoogd tot de goedgekeurde prijs bereikt is."),"")</f>
        <v/>
      </c>
      <c r="J179" s="852"/>
      <c r="K179" s="852"/>
      <c r="L179" s="852"/>
      <c r="M179" s="852"/>
      <c r="N179" s="852"/>
      <c r="O179" s="9"/>
    </row>
    <row r="180" spans="2:18" ht="13.95" x14ac:dyDescent="0.3">
      <c r="B180" s="809"/>
      <c r="C180" s="810"/>
      <c r="D180" s="811"/>
      <c r="E180" s="290"/>
      <c r="F180" s="268">
        <v>0</v>
      </c>
      <c r="G180" s="268">
        <v>0</v>
      </c>
      <c r="H180" s="395">
        <f t="shared" si="9"/>
        <v>0</v>
      </c>
      <c r="I180" s="852" t="str">
        <f>IF(G180&gt;0,IF(F180=0,"De dagprijs stijgt niet in het eerste jaar en kan daarna elke 6 maand met max. "&amp; 'Parameters+keuzes'!$C$48 &amp;" euro worden verhoogd tot de goedgekeurde prijs bereikt is.", "De dagprijs kan  bij ingebruikname met max. "&amp; 'Parameters+keuzes'!$B$48&amp;" euro stijgen en kan daarna ten vroegste elke 6 maand met maximaal "&amp;  'Parameters+keuzes'!$B$48 &amp; " euro worden verhoogd tot de goedgekeurde prijs bereikt is."),"")</f>
        <v/>
      </c>
      <c r="J180" s="852"/>
      <c r="K180" s="852"/>
      <c r="L180" s="852"/>
      <c r="M180" s="852"/>
      <c r="N180" s="852"/>
      <c r="O180" s="98"/>
    </row>
    <row r="181" spans="2:18" ht="13.95" x14ac:dyDescent="0.3">
      <c r="B181" s="809"/>
      <c r="C181" s="810"/>
      <c r="D181" s="811"/>
      <c r="E181" s="290"/>
      <c r="F181" s="268">
        <v>0</v>
      </c>
      <c r="G181" s="268">
        <v>0</v>
      </c>
      <c r="H181" s="395">
        <f t="shared" si="9"/>
        <v>0</v>
      </c>
      <c r="I181" s="852" t="str">
        <f>IF(G181&gt;0,IF(F181=0,"De dagprijs stijgt niet in het eerste jaar en kan daarna elke 6 maand met max. "&amp; 'Parameters+keuzes'!$C$48 &amp;" euro worden verhoogd tot de goedgekeurde prijs bereikt is.", "De dagprijs kan  bij ingebruikname met max. "&amp; 'Parameters+keuzes'!$B$48&amp;" euro stijgen en kan daarna ten vroegste elke 6 maand met maximaal "&amp;  'Parameters+keuzes'!$B$48 &amp; " euro worden verhoogd tot de goedgekeurde prijs bereikt is."),"")</f>
        <v/>
      </c>
      <c r="J181" s="852"/>
      <c r="K181" s="852"/>
      <c r="L181" s="852"/>
      <c r="M181" s="852"/>
      <c r="N181" s="852"/>
      <c r="O181" s="98"/>
    </row>
    <row r="182" spans="2:18" ht="13.95" x14ac:dyDescent="0.3">
      <c r="B182" s="809"/>
      <c r="C182" s="810"/>
      <c r="D182" s="811"/>
      <c r="E182" s="290"/>
      <c r="F182" s="268">
        <v>0</v>
      </c>
      <c r="G182" s="268">
        <v>0</v>
      </c>
      <c r="H182" s="395">
        <f t="shared" si="9"/>
        <v>0</v>
      </c>
      <c r="I182" s="852" t="str">
        <f>IF(G182&gt;0,IF(F182=0,"De dagprijs stijgt niet in het eerste jaar en kan daarna elke 6 maand met max. "&amp; 'Parameters+keuzes'!$C$48 &amp;" euro worden verhoogd tot de goedgekeurde prijs bereikt is.", "De dagprijs kan  bij ingebruikname met max. "&amp; 'Parameters+keuzes'!$B$48&amp;" euro stijgen en kan daarna ten vroegste elke 6 maand met maximaal "&amp;  'Parameters+keuzes'!$B$48 &amp; " euro worden verhoogd tot de goedgekeurde prijs bereikt is."),"")</f>
        <v/>
      </c>
      <c r="J182" s="852"/>
      <c r="K182" s="852"/>
      <c r="L182" s="852"/>
      <c r="M182" s="852"/>
      <c r="N182" s="852"/>
    </row>
    <row r="183" spans="2:18" ht="13.95" x14ac:dyDescent="0.3">
      <c r="B183" s="809"/>
      <c r="C183" s="810"/>
      <c r="D183" s="811"/>
      <c r="E183" s="290"/>
      <c r="F183" s="268">
        <v>0</v>
      </c>
      <c r="G183" s="268">
        <v>0</v>
      </c>
      <c r="H183" s="395">
        <f t="shared" si="9"/>
        <v>0</v>
      </c>
      <c r="I183" s="852" t="str">
        <f>IF(G183&gt;0,IF(F183=0,"De dagprijs stijgt niet in het eerste jaar en kan daarna elke 6 maand met max. "&amp; 'Parameters+keuzes'!$C$48 &amp;" euro worden verhoogd tot de goedgekeurde prijs bereikt is.", "De dagprijs kan  bij ingebruikname met max. "&amp; 'Parameters+keuzes'!$B$48&amp;" euro stijgen en kan daarna ten vroegste elke 6 maand met maximaal "&amp;  'Parameters+keuzes'!$B$48 &amp; " euro worden verhoogd tot de goedgekeurde prijs bereikt is."),"")</f>
        <v/>
      </c>
      <c r="J183" s="852"/>
      <c r="K183" s="852"/>
      <c r="L183" s="852"/>
      <c r="M183" s="852"/>
      <c r="N183" s="852"/>
      <c r="O183" s="9"/>
    </row>
    <row r="184" spans="2:18" ht="14.55" thickBot="1" x14ac:dyDescent="0.35">
      <c r="B184" s="874"/>
      <c r="C184" s="875"/>
      <c r="D184" s="876"/>
      <c r="E184" s="291"/>
      <c r="F184" s="270">
        <v>0</v>
      </c>
      <c r="G184" s="270">
        <v>0</v>
      </c>
      <c r="H184" s="396">
        <f t="shared" si="9"/>
        <v>0</v>
      </c>
      <c r="I184" s="852" t="str">
        <f>IF(G184&gt;0,IF(F184=0,"De dagprijs stijgt niet in het eerste jaar en kan daarna elke 6 maand met max. "&amp; 'Parameters+keuzes'!$C$48 &amp;" euro worden verhoogd tot de goedgekeurde prijs bereikt is.", "De dagprijs kan  bij ingebruikname met max. "&amp; 'Parameters+keuzes'!$B$48&amp;" euro stijgen en kan daarna ten vroegste elke 6 maand met maximaal "&amp;  'Parameters+keuzes'!$B$48 &amp; " euro worden verhoogd tot de goedgekeurde prijs bereikt is."),"")</f>
        <v/>
      </c>
      <c r="J184" s="852"/>
      <c r="K184" s="852"/>
      <c r="L184" s="852"/>
      <c r="M184" s="852"/>
      <c r="N184" s="852"/>
      <c r="O184" s="9"/>
    </row>
    <row r="185" spans="2:18" ht="20.25" customHeight="1" thickBot="1" x14ac:dyDescent="0.35">
      <c r="B185" s="839" t="s">
        <v>1251</v>
      </c>
      <c r="C185" s="840"/>
      <c r="D185" s="841"/>
      <c r="E185" s="292">
        <f>SUM(E166:E184)</f>
        <v>0</v>
      </c>
      <c r="F185" s="150"/>
      <c r="G185" s="151">
        <f t="array" ref="G185">SUM(E166:E184*G166:G184)/IF(E185&gt;0,E185,1)</f>
        <v>0</v>
      </c>
      <c r="H185" s="151">
        <f t="array" ref="H185">SUM(E166:E184*H166:H184)/IF($E$185&gt;0,$E$185,1)</f>
        <v>0</v>
      </c>
      <c r="I185" s="877"/>
      <c r="J185" s="859"/>
      <c r="K185" s="859"/>
      <c r="L185" s="859"/>
      <c r="M185" s="859"/>
      <c r="N185" s="878"/>
      <c r="O185" s="9"/>
    </row>
    <row r="186" spans="2:18" ht="20.25" customHeight="1" thickBot="1" x14ac:dyDescent="0.35">
      <c r="B186" s="42"/>
    </row>
    <row r="187" spans="2:18" ht="14.55" thickBot="1" x14ac:dyDescent="0.35">
      <c r="B187" s="638" t="s">
        <v>1258</v>
      </c>
      <c r="C187" s="639"/>
      <c r="D187" s="639"/>
      <c r="E187" s="640" t="str">
        <f>'1A-Infrastructuur met forfait'!E196</f>
        <v>door ondertekening van het outputtabblad wordt naar eer en geweten verklaard dat het aantal vermelde bewoners met opnameovereenkomst correct is</v>
      </c>
      <c r="F187" s="641"/>
      <c r="G187" s="641"/>
      <c r="H187" s="641"/>
      <c r="I187" s="641"/>
      <c r="J187" s="641"/>
      <c r="K187" s="642"/>
    </row>
    <row r="188" spans="2:18" ht="14.55" thickBot="1" x14ac:dyDescent="0.35">
      <c r="E188" s="640" t="s">
        <v>1259</v>
      </c>
      <c r="F188" s="641"/>
      <c r="G188" s="641"/>
      <c r="H188" s="641"/>
      <c r="I188" s="641"/>
      <c r="J188" s="641"/>
      <c r="K188" s="642"/>
    </row>
    <row r="190" spans="2:18" x14ac:dyDescent="0.3">
      <c r="B190" t="str">
        <f>uitleg_clausule</f>
        <v>(*) Bijkomende uitleg plafondprijs in opnameovereenkomst:</v>
      </c>
    </row>
    <row r="191" spans="2:18" x14ac:dyDescent="0.3">
      <c r="B191" t="str">
        <f>'1A-Infrastructuur met forfait'!B201</f>
        <v xml:space="preserve">De hier vermelde plafondprijs betreft de plafondprijs die werd vermeld in de opnameovereenkomst naar aanleiding van investeringen waarover zekerheid bestaat dat zij zullen worden uitgevoerd. </v>
      </c>
    </row>
    <row r="192" spans="2:18" x14ac:dyDescent="0.3">
      <c r="B192" t="str">
        <f>'1A-Infrastructuur met forfait'!B202</f>
        <v>De prijs maakt deel uit van een clausule in de opnameovereenkomst die wordt mee ondertekend door de bewoners bij opname, waardoor die expliciet instemmen met die plafondprijs,  en waarbij de clausule dus maar geldig is als er een reëel uitzicht is op investeringen. Als bewijs van die investeringen geldt de datum waarop de werken kunnen gestart worden zoals opgegeven in de brief voor het aanvangsbevel voor de werken.</v>
      </c>
    </row>
  </sheetData>
  <sheetProtection algorithmName="SHA-512" hashValue="VjB0Q38orSu9miWtbm9QCjHqrzUxM2Pp7Ez9Dhbq0/iEvgKHPiqYoWsoZIl2Hc7K0At0msL4WiPlt+WsmOCGKg==" saltValue="uNq5DA951UrB/4UcrbA+yw==" spinCount="100000" sheet="1" objects="1" scenarios="1"/>
  <mergeCells count="148">
    <mergeCell ref="E187:K187"/>
    <mergeCell ref="E188:K188"/>
    <mergeCell ref="B185:D185"/>
    <mergeCell ref="B179:D179"/>
    <mergeCell ref="B180:D180"/>
    <mergeCell ref="B181:D181"/>
    <mergeCell ref="B182:D182"/>
    <mergeCell ref="B183:D183"/>
    <mergeCell ref="B184:D184"/>
    <mergeCell ref="I181:N181"/>
    <mergeCell ref="I182:N182"/>
    <mergeCell ref="I183:N183"/>
    <mergeCell ref="I184:N184"/>
    <mergeCell ref="I185:N185"/>
    <mergeCell ref="B174:D174"/>
    <mergeCell ref="B175:D175"/>
    <mergeCell ref="O175:R177"/>
    <mergeCell ref="B176:D176"/>
    <mergeCell ref="B177:D177"/>
    <mergeCell ref="B178:D178"/>
    <mergeCell ref="B168:D168"/>
    <mergeCell ref="B169:D169"/>
    <mergeCell ref="B170:D170"/>
    <mergeCell ref="O170:T170"/>
    <mergeCell ref="B171:D171"/>
    <mergeCell ref="B172:D172"/>
    <mergeCell ref="O172:U173"/>
    <mergeCell ref="B173:D173"/>
    <mergeCell ref="I173:N173"/>
    <mergeCell ref="B166:D166"/>
    <mergeCell ref="O166:T166"/>
    <mergeCell ref="B167:D167"/>
    <mergeCell ref="B153:D153"/>
    <mergeCell ref="B154:D154"/>
    <mergeCell ref="B156:Q156"/>
    <mergeCell ref="B158:Q161"/>
    <mergeCell ref="B164:D165"/>
    <mergeCell ref="E164:E165"/>
    <mergeCell ref="F164:F165"/>
    <mergeCell ref="G164:G165"/>
    <mergeCell ref="H164:H165"/>
    <mergeCell ref="B147:D147"/>
    <mergeCell ref="B148:D148"/>
    <mergeCell ref="B149:D149"/>
    <mergeCell ref="B150:D150"/>
    <mergeCell ref="B151:D151"/>
    <mergeCell ref="B152:D152"/>
    <mergeCell ref="B140:D140"/>
    <mergeCell ref="B141:D141"/>
    <mergeCell ref="G141:L142"/>
    <mergeCell ref="B142:D142"/>
    <mergeCell ref="B143:D143"/>
    <mergeCell ref="B144:D144"/>
    <mergeCell ref="G144:I146"/>
    <mergeCell ref="B145:D145"/>
    <mergeCell ref="B146:D146"/>
    <mergeCell ref="B136:D136"/>
    <mergeCell ref="G136:L136"/>
    <mergeCell ref="B137:D137"/>
    <mergeCell ref="G137:K138"/>
    <mergeCell ref="B138:D138"/>
    <mergeCell ref="B139:D139"/>
    <mergeCell ref="G139:K139"/>
    <mergeCell ref="B133:D134"/>
    <mergeCell ref="E133:E134"/>
    <mergeCell ref="F133:F134"/>
    <mergeCell ref="G133:J133"/>
    <mergeCell ref="B135:D135"/>
    <mergeCell ref="G135:I135"/>
    <mergeCell ref="A122:Q122"/>
    <mergeCell ref="F124:H124"/>
    <mergeCell ref="B126:Q126"/>
    <mergeCell ref="B128:Q131"/>
    <mergeCell ref="B84:D84"/>
    <mergeCell ref="G85:M85"/>
    <mergeCell ref="H88:Q88"/>
    <mergeCell ref="H90:M90"/>
    <mergeCell ref="B115:D115"/>
    <mergeCell ref="B118:F118"/>
    <mergeCell ref="G118:I118"/>
    <mergeCell ref="B80:Q80"/>
    <mergeCell ref="B82:Q82"/>
    <mergeCell ref="B55:E55"/>
    <mergeCell ref="F55:Q55"/>
    <mergeCell ref="B64:Q64"/>
    <mergeCell ref="B66:M67"/>
    <mergeCell ref="B70:D70"/>
    <mergeCell ref="B71:D71"/>
    <mergeCell ref="B119:F119"/>
    <mergeCell ref="G119:Q119"/>
    <mergeCell ref="G52:Q52"/>
    <mergeCell ref="B53:Q53"/>
    <mergeCell ref="B33:Q34"/>
    <mergeCell ref="B29:E29"/>
    <mergeCell ref="F29:Q29"/>
    <mergeCell ref="B31:Q31"/>
    <mergeCell ref="B77:F77"/>
    <mergeCell ref="G77:I77"/>
    <mergeCell ref="B78:F78"/>
    <mergeCell ref="G78:Q78"/>
    <mergeCell ref="B23:D23"/>
    <mergeCell ref="E23:G23"/>
    <mergeCell ref="A9:Q9"/>
    <mergeCell ref="A10:A60"/>
    <mergeCell ref="B13:Q13"/>
    <mergeCell ref="B15:Q16"/>
    <mergeCell ref="E19:G19"/>
    <mergeCell ref="B20:D20"/>
    <mergeCell ref="E20:G20"/>
    <mergeCell ref="B26:D26"/>
    <mergeCell ref="E26:G26"/>
    <mergeCell ref="B27:D27"/>
    <mergeCell ref="E27:G27"/>
    <mergeCell ref="H24:O24"/>
    <mergeCell ref="B25:D25"/>
    <mergeCell ref="E25:G25"/>
    <mergeCell ref="B24:D24"/>
    <mergeCell ref="E24:G24"/>
    <mergeCell ref="B22:D22"/>
    <mergeCell ref="E22:G22"/>
    <mergeCell ref="B50:Q50"/>
    <mergeCell ref="B51:F51"/>
    <mergeCell ref="G51:I51"/>
    <mergeCell ref="B52:F52"/>
    <mergeCell ref="B132:D132"/>
    <mergeCell ref="B163:D163"/>
    <mergeCell ref="B4:Q7"/>
    <mergeCell ref="B57:F57"/>
    <mergeCell ref="B187:D187"/>
    <mergeCell ref="H163:K163"/>
    <mergeCell ref="A1:Q1"/>
    <mergeCell ref="I174:N174"/>
    <mergeCell ref="I175:N175"/>
    <mergeCell ref="I176:N176"/>
    <mergeCell ref="I177:N177"/>
    <mergeCell ref="I178:N178"/>
    <mergeCell ref="I179:N179"/>
    <mergeCell ref="I180:N180"/>
    <mergeCell ref="I164:N165"/>
    <mergeCell ref="I166:N166"/>
    <mergeCell ref="I167:N167"/>
    <mergeCell ref="I168:N168"/>
    <mergeCell ref="I169:N169"/>
    <mergeCell ref="I170:N170"/>
    <mergeCell ref="I171:N171"/>
    <mergeCell ref="I172:N172"/>
    <mergeCell ref="B21:D21"/>
    <mergeCell ref="E21:G21"/>
  </mergeCells>
  <phoneticPr fontId="43" type="noConversion"/>
  <conditionalFormatting sqref="B62:K62">
    <cfRule type="expression" dxfId="17" priority="1">
      <formula>$F$60&lt;50%</formula>
    </cfRule>
  </conditionalFormatting>
  <conditionalFormatting sqref="E154">
    <cfRule type="cellIs" dxfId="16" priority="14" operator="notEqual">
      <formula>#REF!</formula>
    </cfRule>
  </conditionalFormatting>
  <conditionalFormatting sqref="E185">
    <cfRule type="expression" dxfId="15" priority="11">
      <formula>$E$185&gt;#REF!</formula>
    </cfRule>
  </conditionalFormatting>
  <conditionalFormatting sqref="E24:G24">
    <cfRule type="expression" dxfId="14" priority="16">
      <formula>#REF!&lt;&gt;#REF!</formula>
    </cfRule>
  </conditionalFormatting>
  <conditionalFormatting sqref="F154">
    <cfRule type="cellIs" dxfId="13" priority="12" operator="greaterThan">
      <formula>$E$124</formula>
    </cfRule>
  </conditionalFormatting>
  <conditionalFormatting sqref="H185">
    <cfRule type="cellIs" dxfId="12" priority="8" operator="greaterThan">
      <formula>$E$124</formula>
    </cfRule>
  </conditionalFormatting>
  <hyperlinks>
    <hyperlink ref="I73" location="RIZIV" display="bijlage RIZIV-derde luik" xr:uid="{6EDD2B2C-32CA-4BBF-8AED-9F881EC766C5}"/>
    <hyperlink ref="K114" location="supplement" display="bijlage supplement" xr:uid="{801EAE3A-C259-4618-B166-B609DB60A273}"/>
    <hyperlink ref="B2" location="generiek" display="Klik hier indien terug naar generieke input" xr:uid="{E0879807-B4A7-4209-8F4A-C923074DBB0F}"/>
    <hyperlink ref="F164:F165" location="uitleg_clausule_2" display="uitleg_clausule_2" xr:uid="{52D2F861-C366-405B-8F26-8F4676F19A1E}"/>
  </hyperlinks>
  <pageMargins left="0.70866141732283472" right="0.70866141732283472" top="0.98425196850393704" bottom="0.98425196850393704" header="0.31496062992125984" footer="0.31496062992125984"/>
  <pageSetup scale="12" fitToHeight="0" orientation="portrait" r:id="rId1"/>
  <headerFooter>
    <oddHeader>&amp;L&amp;G&amp;R&amp;"-,Bold"&amp;K03+000/&amp;"-,Regular"&amp;K01+000 &amp;"-,Bold"&amp;K03+000cijfergegevens</oddHeader>
    <oddFooter>&amp;L&amp;G&amp;R&amp;"-,Bold"&amp;K03+000www.zorg-en-gezondheid.be</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64AFC-4D2F-4E51-BE9A-ECA398A9C63A}">
  <sheetPr codeName="Blad9">
    <tabColor rgb="FF92D050"/>
  </sheetPr>
  <dimension ref="A1:W310"/>
  <sheetViews>
    <sheetView topLeftCell="B1" zoomScale="106" zoomScaleNormal="106" workbookViewId="0">
      <selection activeCell="C93" sqref="C93"/>
    </sheetView>
  </sheetViews>
  <sheetFormatPr defaultColWidth="8.88671875" defaultRowHeight="14.4" x14ac:dyDescent="0.3"/>
  <cols>
    <col min="1" max="1" width="3.6640625" customWidth="1"/>
    <col min="2" max="2" width="79.33203125" customWidth="1"/>
    <col min="4" max="4" width="14.21875" customWidth="1"/>
    <col min="5" max="5" width="25.44140625" customWidth="1"/>
    <col min="6" max="6" width="19.77734375" customWidth="1"/>
    <col min="7" max="7" width="24" customWidth="1"/>
    <col min="8" max="8" width="22.44140625" customWidth="1"/>
    <col min="9" max="9" width="16.44140625" customWidth="1"/>
    <col min="10" max="10" width="20.6640625" customWidth="1"/>
    <col min="11" max="11" width="15.33203125" customWidth="1"/>
    <col min="12" max="12" width="37.21875" customWidth="1"/>
    <col min="13" max="13" width="16.109375" customWidth="1"/>
    <col min="14" max="14" width="15.33203125" customWidth="1"/>
    <col min="15" max="15" width="7.6640625" bestFit="1" customWidth="1"/>
    <col min="16" max="16" width="55.109375" customWidth="1"/>
    <col min="17" max="17" width="9.5546875" bestFit="1" customWidth="1"/>
    <col min="18" max="18" width="6.44140625" bestFit="1" customWidth="1"/>
    <col min="19" max="19" width="18.44140625" bestFit="1" customWidth="1"/>
    <col min="20" max="20" width="7.6640625" bestFit="1" customWidth="1"/>
    <col min="21" max="21" width="6.44140625" bestFit="1" customWidth="1"/>
    <col min="22" max="22" width="12.6640625" hidden="1" customWidth="1"/>
    <col min="23" max="23" width="12.6640625" customWidth="1"/>
    <col min="24" max="24" width="19.44140625" customWidth="1"/>
    <col min="25" max="25" width="25.33203125" customWidth="1"/>
    <col min="26" max="26" width="40.5546875" customWidth="1"/>
    <col min="27" max="27" width="27.44140625" customWidth="1"/>
  </cols>
  <sheetData>
    <row r="1" spans="1:23" s="135" customFormat="1" ht="21" x14ac:dyDescent="0.4">
      <c r="A1" s="1072" t="s">
        <v>1360</v>
      </c>
      <c r="B1" s="1073"/>
      <c r="C1" s="1073"/>
      <c r="D1" s="1073"/>
      <c r="E1" s="1073"/>
      <c r="F1" s="1073"/>
      <c r="G1" s="1073"/>
      <c r="H1" s="1073"/>
      <c r="I1" s="1073"/>
      <c r="J1" s="1073"/>
      <c r="K1" s="1073"/>
      <c r="L1" s="1073"/>
      <c r="M1" s="1073"/>
      <c r="N1" s="1073"/>
      <c r="O1" s="1073"/>
    </row>
    <row r="2" spans="1:23" s="135" customFormat="1" x14ac:dyDescent="0.3">
      <c r="A2" s="970"/>
      <c r="B2" s="149" t="s">
        <v>1126</v>
      </c>
      <c r="C2" s="298"/>
      <c r="D2" s="298"/>
      <c r="E2" s="298"/>
      <c r="F2" s="298"/>
      <c r="G2" s="298"/>
      <c r="H2" s="298"/>
      <c r="I2" s="299"/>
      <c r="J2" s="299"/>
      <c r="K2" s="146"/>
      <c r="L2" s="146"/>
      <c r="M2" s="299"/>
      <c r="N2" s="300"/>
      <c r="O2" s="86"/>
      <c r="R2" s="301"/>
      <c r="T2" s="301"/>
    </row>
    <row r="3" spans="1:23" s="135" customFormat="1" ht="15" thickBot="1" x14ac:dyDescent="0.35">
      <c r="A3" s="970"/>
      <c r="B3" s="294" t="s">
        <v>1703</v>
      </c>
      <c r="C3" s="298"/>
      <c r="D3" s="298"/>
      <c r="E3" s="298"/>
      <c r="F3" s="298"/>
      <c r="G3" s="298"/>
      <c r="H3" s="298"/>
      <c r="I3" s="299"/>
      <c r="J3" s="299"/>
      <c r="K3" s="146"/>
      <c r="L3" s="146"/>
      <c r="M3" s="299"/>
      <c r="N3" s="300"/>
      <c r="O3" s="86"/>
      <c r="R3" s="301"/>
      <c r="T3" s="301"/>
    </row>
    <row r="4" spans="1:23" s="135" customFormat="1" x14ac:dyDescent="0.3">
      <c r="A4" s="970"/>
      <c r="B4" s="629" t="s">
        <v>1770</v>
      </c>
      <c r="C4" s="630"/>
      <c r="D4" s="630"/>
      <c r="E4" s="630"/>
      <c r="F4" s="630"/>
      <c r="G4" s="630"/>
      <c r="H4" s="630"/>
      <c r="I4" s="630"/>
      <c r="J4" s="630"/>
      <c r="K4" s="630"/>
      <c r="L4" s="630"/>
      <c r="M4" s="630"/>
      <c r="N4" s="630"/>
      <c r="O4" s="631"/>
      <c r="R4" s="301"/>
      <c r="T4" s="301"/>
    </row>
    <row r="5" spans="1:23" s="135" customFormat="1" x14ac:dyDescent="0.3">
      <c r="A5" s="970"/>
      <c r="B5" s="1076"/>
      <c r="C5" s="633"/>
      <c r="D5" s="633"/>
      <c r="E5" s="633"/>
      <c r="F5" s="633"/>
      <c r="G5" s="633"/>
      <c r="H5" s="633"/>
      <c r="I5" s="633"/>
      <c r="J5" s="633"/>
      <c r="K5" s="633"/>
      <c r="L5" s="633"/>
      <c r="M5" s="633"/>
      <c r="N5" s="633"/>
      <c r="O5" s="634"/>
      <c r="R5" s="301"/>
      <c r="T5" s="301"/>
    </row>
    <row r="6" spans="1:23" ht="21.6" customHeight="1" thickBot="1" x14ac:dyDescent="0.35">
      <c r="A6" s="970"/>
      <c r="B6" s="635"/>
      <c r="C6" s="636"/>
      <c r="D6" s="636"/>
      <c r="E6" s="636"/>
      <c r="F6" s="636"/>
      <c r="G6" s="636"/>
      <c r="H6" s="636"/>
      <c r="I6" s="636"/>
      <c r="J6" s="636"/>
      <c r="K6" s="636"/>
      <c r="L6" s="636"/>
      <c r="M6" s="636"/>
      <c r="N6" s="636"/>
      <c r="O6" s="637"/>
    </row>
    <row r="7" spans="1:23" ht="15" thickBot="1" x14ac:dyDescent="0.35">
      <c r="A7" s="86"/>
      <c r="O7" s="86"/>
    </row>
    <row r="8" spans="1:23" ht="15" thickBot="1" x14ac:dyDescent="0.35">
      <c r="A8" s="1080" t="s">
        <v>1361</v>
      </c>
      <c r="B8" s="1081"/>
      <c r="C8" s="1081"/>
      <c r="D8" s="1081"/>
      <c r="E8" s="1081"/>
      <c r="F8" s="1081"/>
      <c r="G8" s="1081"/>
      <c r="H8" s="1081"/>
      <c r="I8" s="1081"/>
      <c r="J8" s="1081"/>
      <c r="K8" s="1081"/>
      <c r="L8" s="1081"/>
      <c r="M8" s="1081"/>
      <c r="N8" s="1081"/>
      <c r="O8" s="1082"/>
    </row>
    <row r="9" spans="1:23" ht="15" thickBot="1" x14ac:dyDescent="0.35">
      <c r="A9" s="302"/>
      <c r="B9" s="302"/>
      <c r="C9" s="302"/>
      <c r="D9" s="302"/>
      <c r="E9" s="302"/>
      <c r="F9" s="302"/>
      <c r="G9" s="302"/>
      <c r="H9" s="302"/>
      <c r="I9" s="302"/>
      <c r="J9" s="302"/>
      <c r="K9" s="302"/>
      <c r="L9" s="302"/>
      <c r="M9" s="302"/>
      <c r="N9" s="302"/>
      <c r="O9" s="302"/>
    </row>
    <row r="10" spans="1:23" x14ac:dyDescent="0.3">
      <c r="A10" s="129"/>
      <c r="B10" s="1092" t="s">
        <v>1704</v>
      </c>
      <c r="C10" s="630"/>
      <c r="D10" s="630"/>
      <c r="E10" s="630"/>
      <c r="F10" s="630"/>
      <c r="G10" s="630"/>
      <c r="H10" s="630"/>
      <c r="I10" s="630"/>
      <c r="J10" s="630"/>
      <c r="K10" s="630"/>
      <c r="L10" s="630"/>
      <c r="M10" s="630"/>
      <c r="N10" s="630"/>
      <c r="O10" s="631"/>
    </row>
    <row r="11" spans="1:23" ht="69.599999999999994" customHeight="1" thickBot="1" x14ac:dyDescent="0.35">
      <c r="A11" s="129"/>
      <c r="B11" s="635"/>
      <c r="C11" s="636"/>
      <c r="D11" s="636"/>
      <c r="E11" s="636"/>
      <c r="F11" s="636"/>
      <c r="G11" s="636"/>
      <c r="H11" s="636"/>
      <c r="I11" s="636"/>
      <c r="J11" s="636"/>
      <c r="K11" s="636"/>
      <c r="L11" s="636"/>
      <c r="M11" s="636"/>
      <c r="N11" s="636"/>
      <c r="O11" s="637"/>
    </row>
    <row r="12" spans="1:23" ht="15" thickBot="1" x14ac:dyDescent="0.35">
      <c r="A12" s="302"/>
      <c r="B12" s="302"/>
      <c r="C12" s="302"/>
      <c r="D12" s="302"/>
      <c r="E12" s="303"/>
      <c r="F12" s="302"/>
      <c r="G12" s="302"/>
      <c r="H12" s="302"/>
      <c r="I12" s="302"/>
      <c r="J12" s="302"/>
      <c r="K12" s="302"/>
      <c r="L12" s="302"/>
      <c r="M12" s="302"/>
      <c r="N12" s="302"/>
      <c r="O12" s="302"/>
    </row>
    <row r="13" spans="1:23" ht="15" thickBot="1" x14ac:dyDescent="0.35">
      <c r="B13" s="1" t="s">
        <v>1362</v>
      </c>
      <c r="E13" s="295">
        <v>2024</v>
      </c>
      <c r="F13" s="304" t="s">
        <v>1363</v>
      </c>
      <c r="O13" s="305"/>
    </row>
    <row r="14" spans="1:23" x14ac:dyDescent="0.3">
      <c r="B14" s="306"/>
      <c r="C14" s="307"/>
      <c r="D14" s="307"/>
      <c r="E14" s="307"/>
      <c r="F14" s="307"/>
      <c r="G14" s="307"/>
      <c r="H14" s="307"/>
      <c r="I14" s="307"/>
      <c r="J14" s="307"/>
      <c r="K14" s="307"/>
      <c r="L14" s="86"/>
    </row>
    <row r="15" spans="1:23" x14ac:dyDescent="0.3">
      <c r="B15" s="1083"/>
      <c r="C15" s="1084"/>
      <c r="D15" s="1084"/>
      <c r="E15" s="1085"/>
      <c r="G15" s="1089" t="s">
        <v>1364</v>
      </c>
      <c r="H15" s="1090"/>
      <c r="I15" s="1091"/>
      <c r="J15" s="1089" t="s">
        <v>1364</v>
      </c>
      <c r="K15" s="1090"/>
      <c r="L15" s="1091"/>
    </row>
    <row r="16" spans="1:23" x14ac:dyDescent="0.3">
      <c r="B16" s="1086"/>
      <c r="C16" s="1087"/>
      <c r="D16" s="1087"/>
      <c r="E16" s="1088"/>
      <c r="G16" s="308" t="s">
        <v>1365</v>
      </c>
      <c r="H16" s="309">
        <f>K16-1</f>
        <v>2023</v>
      </c>
      <c r="I16" s="310"/>
      <c r="J16" s="308" t="s">
        <v>1365</v>
      </c>
      <c r="K16" s="309">
        <f>E13</f>
        <v>2024</v>
      </c>
      <c r="L16" s="310"/>
      <c r="W16" s="86"/>
    </row>
    <row r="17" spans="2:23" x14ac:dyDescent="0.3">
      <c r="B17" s="1058" t="s">
        <v>1366</v>
      </c>
      <c r="C17" s="1059"/>
      <c r="D17" s="1059"/>
      <c r="E17" s="1060"/>
      <c r="G17" s="1031">
        <v>0</v>
      </c>
      <c r="H17" s="1032"/>
      <c r="I17" s="1033"/>
      <c r="J17" s="1031">
        <v>0</v>
      </c>
      <c r="K17" s="1032"/>
      <c r="L17" s="1033"/>
      <c r="M17" s="2" t="s">
        <v>1367</v>
      </c>
      <c r="W17" s="86"/>
    </row>
    <row r="18" spans="2:23" x14ac:dyDescent="0.3">
      <c r="B18" s="1052" t="s">
        <v>1368</v>
      </c>
      <c r="C18" s="1053"/>
      <c r="D18" s="1053"/>
      <c r="E18" s="1054"/>
      <c r="G18" s="1077">
        <f>SUM(G19:I22)</f>
        <v>0</v>
      </c>
      <c r="H18" s="1078"/>
      <c r="I18" s="1079"/>
      <c r="J18" s="1077">
        <f>SUM(J19:L22)</f>
        <v>0</v>
      </c>
      <c r="K18" s="1078"/>
      <c r="L18" s="1079"/>
      <c r="M18" s="2" t="s">
        <v>1156</v>
      </c>
      <c r="W18" s="79"/>
    </row>
    <row r="19" spans="2:23" x14ac:dyDescent="0.3">
      <c r="B19" s="1058" t="s">
        <v>1370</v>
      </c>
      <c r="C19" s="1059"/>
      <c r="D19" s="1059"/>
      <c r="E19" s="1060"/>
      <c r="G19" s="1031">
        <v>0</v>
      </c>
      <c r="H19" s="1032"/>
      <c r="I19" s="1033"/>
      <c r="J19" s="1031">
        <v>0</v>
      </c>
      <c r="K19" s="1032"/>
      <c r="L19" s="1033"/>
      <c r="M19" s="2" t="s">
        <v>1367</v>
      </c>
      <c r="W19" s="86"/>
    </row>
    <row r="20" spans="2:23" x14ac:dyDescent="0.3">
      <c r="B20" s="1058" t="s">
        <v>1371</v>
      </c>
      <c r="C20" s="1059"/>
      <c r="D20" s="1059"/>
      <c r="E20" s="1060"/>
      <c r="G20" s="1031">
        <v>0</v>
      </c>
      <c r="H20" s="1032"/>
      <c r="I20" s="1033"/>
      <c r="J20" s="1031">
        <v>0</v>
      </c>
      <c r="K20" s="1032"/>
      <c r="L20" s="1033"/>
      <c r="M20" s="2" t="s">
        <v>1367</v>
      </c>
      <c r="W20" s="79"/>
    </row>
    <row r="21" spans="2:23" x14ac:dyDescent="0.3">
      <c r="B21" s="1058" t="s">
        <v>1372</v>
      </c>
      <c r="C21" s="1059"/>
      <c r="D21" s="1059"/>
      <c r="E21" s="1060"/>
      <c r="G21" s="1031">
        <v>0</v>
      </c>
      <c r="H21" s="1032"/>
      <c r="I21" s="1033"/>
      <c r="J21" s="1031">
        <v>0</v>
      </c>
      <c r="K21" s="1032"/>
      <c r="L21" s="1033"/>
      <c r="M21" s="2" t="s">
        <v>1367</v>
      </c>
      <c r="W21" s="86"/>
    </row>
    <row r="22" spans="2:23" x14ac:dyDescent="0.3">
      <c r="B22" s="1058" t="s">
        <v>1373</v>
      </c>
      <c r="C22" s="1059"/>
      <c r="D22" s="1059"/>
      <c r="E22" s="1060"/>
      <c r="G22" s="1031"/>
      <c r="H22" s="1032"/>
      <c r="I22" s="1033"/>
      <c r="J22" s="1031"/>
      <c r="K22" s="1032"/>
      <c r="L22" s="1033"/>
      <c r="M22" s="2" t="s">
        <v>1367</v>
      </c>
      <c r="W22" s="86"/>
    </row>
    <row r="23" spans="2:23" x14ac:dyDescent="0.3">
      <c r="B23" s="1052" t="s">
        <v>1374</v>
      </c>
      <c r="C23" s="1053"/>
      <c r="D23" s="1053"/>
      <c r="E23" s="1054"/>
      <c r="G23" s="1022">
        <f>G17-G18</f>
        <v>0</v>
      </c>
      <c r="H23" s="1023"/>
      <c r="I23" s="1024"/>
      <c r="J23" s="1022">
        <f>J17-J18</f>
        <v>0</v>
      </c>
      <c r="K23" s="1023"/>
      <c r="L23" s="1024"/>
      <c r="W23" s="86"/>
    </row>
    <row r="24" spans="2:23" x14ac:dyDescent="0.3">
      <c r="B24" s="1055"/>
      <c r="C24" s="1056"/>
      <c r="D24" s="1056"/>
      <c r="E24" s="1057"/>
      <c r="G24" s="1025"/>
      <c r="H24" s="1026"/>
      <c r="I24" s="1027"/>
      <c r="J24" s="1025"/>
      <c r="K24" s="1026"/>
      <c r="L24" s="1027"/>
      <c r="M24" s="2" t="s">
        <v>1156</v>
      </c>
      <c r="W24" s="86"/>
    </row>
    <row r="25" spans="2:23" x14ac:dyDescent="0.3">
      <c r="B25" s="311" t="s">
        <v>1375</v>
      </c>
      <c r="C25" s="312"/>
      <c r="D25" s="312"/>
      <c r="E25" s="313"/>
      <c r="G25" s="1031">
        <v>0</v>
      </c>
      <c r="H25" s="1032"/>
      <c r="I25" s="1033"/>
      <c r="J25" s="1032">
        <v>0</v>
      </c>
      <c r="K25" s="1032"/>
      <c r="L25" s="1033"/>
      <c r="M25" s="2" t="s">
        <v>1367</v>
      </c>
      <c r="W25" s="314"/>
    </row>
    <row r="26" spans="2:23" x14ac:dyDescent="0.3">
      <c r="B26" s="1028" t="s">
        <v>1376</v>
      </c>
      <c r="C26" s="1029"/>
      <c r="D26" s="1029"/>
      <c r="E26" s="1030"/>
      <c r="G26" s="1031">
        <v>0</v>
      </c>
      <c r="H26" s="1032"/>
      <c r="I26" s="1033"/>
      <c r="J26" s="1031">
        <v>0</v>
      </c>
      <c r="K26" s="1032"/>
      <c r="L26" s="1033"/>
      <c r="M26" s="2" t="s">
        <v>1367</v>
      </c>
      <c r="W26" s="314"/>
    </row>
    <row r="27" spans="2:23" x14ac:dyDescent="0.3">
      <c r="B27" s="1010" t="s">
        <v>1377</v>
      </c>
      <c r="C27" s="1011"/>
      <c r="D27" s="1011"/>
      <c r="E27" s="1012"/>
      <c r="G27" s="1022">
        <f>G23+G25-G26</f>
        <v>0</v>
      </c>
      <c r="H27" s="1023"/>
      <c r="I27" s="1024"/>
      <c r="J27" s="1022">
        <f>J23+J25-J26</f>
        <v>0</v>
      </c>
      <c r="K27" s="1023"/>
      <c r="L27" s="1024"/>
      <c r="W27" s="86"/>
    </row>
    <row r="28" spans="2:23" x14ac:dyDescent="0.3">
      <c r="B28" s="1037" t="s">
        <v>1378</v>
      </c>
      <c r="C28" s="1038"/>
      <c r="D28" s="1038"/>
      <c r="E28" s="1039"/>
      <c r="G28" s="1034"/>
      <c r="H28" s="1035"/>
      <c r="I28" s="1036"/>
      <c r="J28" s="1034"/>
      <c r="K28" s="1035"/>
      <c r="L28" s="1036"/>
      <c r="W28" s="86"/>
    </row>
    <row r="29" spans="2:23" x14ac:dyDescent="0.3">
      <c r="B29" s="1040" t="s">
        <v>1379</v>
      </c>
      <c r="C29" s="1041"/>
      <c r="D29" s="1041"/>
      <c r="E29" s="1042"/>
      <c r="G29" s="1025"/>
      <c r="H29" s="1026"/>
      <c r="I29" s="1027"/>
      <c r="J29" s="1025"/>
      <c r="K29" s="1026"/>
      <c r="L29" s="1027"/>
      <c r="M29" s="2" t="s">
        <v>1156</v>
      </c>
      <c r="W29" s="86"/>
    </row>
    <row r="30" spans="2:23" x14ac:dyDescent="0.3">
      <c r="B30" s="1046" t="s">
        <v>1380</v>
      </c>
      <c r="C30" s="1047"/>
      <c r="D30" s="1047"/>
      <c r="E30" s="1048"/>
      <c r="G30" s="1043">
        <f>IFERROR(G27/G17,0%)</f>
        <v>0</v>
      </c>
      <c r="H30" s="1044"/>
      <c r="I30" s="1045"/>
      <c r="J30" s="1043">
        <f>IFERROR(J27/J17,0%)</f>
        <v>0</v>
      </c>
      <c r="K30" s="1044"/>
      <c r="L30" s="1045"/>
      <c r="M30" s="2" t="s">
        <v>1156</v>
      </c>
      <c r="W30" s="86"/>
    </row>
    <row r="31" spans="2:23" x14ac:dyDescent="0.3">
      <c r="B31" s="315" t="s">
        <v>1381</v>
      </c>
      <c r="C31" s="316"/>
      <c r="D31" s="316"/>
      <c r="E31" s="317"/>
      <c r="G31" s="1049" t="str">
        <f t="shared" ref="G31" si="0">IF(G30&lt;2.5%,"JA","NEEN")</f>
        <v>JA</v>
      </c>
      <c r="H31" s="1050"/>
      <c r="I31" s="1051"/>
      <c r="J31" s="1049" t="str">
        <f t="shared" ref="J31" si="1">IF(J30&lt;2.5%,"JA","NEEN")</f>
        <v>JA</v>
      </c>
      <c r="K31" s="1050"/>
      <c r="L31" s="1051"/>
      <c r="M31" s="2" t="s">
        <v>1382</v>
      </c>
      <c r="W31" s="86"/>
    </row>
    <row r="32" spans="2:23" x14ac:dyDescent="0.3">
      <c r="B32" s="1028" t="s">
        <v>1383</v>
      </c>
      <c r="C32" s="1029"/>
      <c r="D32" s="1029"/>
      <c r="E32" s="1030"/>
      <c r="G32" s="1031">
        <v>0</v>
      </c>
      <c r="H32" s="1032"/>
      <c r="I32" s="1033"/>
      <c r="J32" s="1031">
        <v>0</v>
      </c>
      <c r="K32" s="1032"/>
      <c r="L32" s="1033"/>
      <c r="M32" s="2" t="s">
        <v>1367</v>
      </c>
      <c r="W32" s="86"/>
    </row>
    <row r="33" spans="1:23" x14ac:dyDescent="0.3">
      <c r="B33" s="1028" t="s">
        <v>1384</v>
      </c>
      <c r="C33" s="1029"/>
      <c r="D33" s="1029"/>
      <c r="E33" s="1030"/>
      <c r="G33" s="1031">
        <v>0</v>
      </c>
      <c r="H33" s="1032"/>
      <c r="I33" s="1033"/>
      <c r="J33" s="1031">
        <v>0</v>
      </c>
      <c r="K33" s="1032"/>
      <c r="L33" s="1033"/>
      <c r="M33" s="2" t="s">
        <v>1367</v>
      </c>
      <c r="W33" s="86"/>
    </row>
    <row r="34" spans="1:23" x14ac:dyDescent="0.3">
      <c r="B34" s="1010" t="s">
        <v>1385</v>
      </c>
      <c r="C34" s="1011"/>
      <c r="D34" s="1011"/>
      <c r="E34" s="1012"/>
      <c r="G34" s="1022">
        <f>G27+G32-G33</f>
        <v>0</v>
      </c>
      <c r="H34" s="1023"/>
      <c r="I34" s="1024"/>
      <c r="J34" s="1022">
        <f>J27+J32-J33</f>
        <v>0</v>
      </c>
      <c r="K34" s="1023"/>
      <c r="L34" s="1024"/>
      <c r="W34" s="86"/>
    </row>
    <row r="35" spans="1:23" x14ac:dyDescent="0.3">
      <c r="B35" s="1019" t="s">
        <v>1386</v>
      </c>
      <c r="C35" s="1020"/>
      <c r="D35" s="1020"/>
      <c r="E35" s="1021"/>
      <c r="G35" s="1025"/>
      <c r="H35" s="1026"/>
      <c r="I35" s="1027"/>
      <c r="J35" s="1025"/>
      <c r="K35" s="1026"/>
      <c r="L35" s="1027"/>
      <c r="M35" s="2" t="s">
        <v>1156</v>
      </c>
      <c r="W35" s="86"/>
    </row>
    <row r="36" spans="1:23" x14ac:dyDescent="0.3">
      <c r="B36" s="1028" t="s">
        <v>1387</v>
      </c>
      <c r="C36" s="1029"/>
      <c r="D36" s="1029"/>
      <c r="E36" s="1030"/>
      <c r="G36" s="1031"/>
      <c r="H36" s="1032"/>
      <c r="I36" s="1033"/>
      <c r="J36" s="1031"/>
      <c r="K36" s="1032"/>
      <c r="L36" s="1033"/>
      <c r="M36" s="2" t="s">
        <v>1367</v>
      </c>
      <c r="W36" s="86"/>
    </row>
    <row r="37" spans="1:23" x14ac:dyDescent="0.3">
      <c r="B37" s="1010" t="s">
        <v>1388</v>
      </c>
      <c r="C37" s="1011"/>
      <c r="D37" s="1011"/>
      <c r="E37" s="1012"/>
      <c r="G37" s="1013">
        <f>G34-G36</f>
        <v>0</v>
      </c>
      <c r="H37" s="1014"/>
      <c r="I37" s="1015"/>
      <c r="J37" s="1013">
        <f>J34-J36</f>
        <v>0</v>
      </c>
      <c r="K37" s="1014"/>
      <c r="L37" s="1015"/>
      <c r="W37" s="86"/>
    </row>
    <row r="38" spans="1:23" x14ac:dyDescent="0.3">
      <c r="B38" s="1019" t="s">
        <v>1389</v>
      </c>
      <c r="C38" s="1020"/>
      <c r="D38" s="1020"/>
      <c r="E38" s="1021"/>
      <c r="G38" s="1016"/>
      <c r="H38" s="1017"/>
      <c r="I38" s="1018"/>
      <c r="J38" s="1016"/>
      <c r="K38" s="1017"/>
      <c r="L38" s="1018"/>
      <c r="M38" s="2" t="s">
        <v>1390</v>
      </c>
      <c r="W38" s="86"/>
    </row>
    <row r="39" spans="1:23" x14ac:dyDescent="0.3">
      <c r="B39" s="318"/>
      <c r="K39" s="86"/>
      <c r="O39" s="86"/>
    </row>
    <row r="40" spans="1:23" x14ac:dyDescent="0.3">
      <c r="B40" s="1000" t="s">
        <v>1391</v>
      </c>
      <c r="C40" s="1001"/>
      <c r="D40" s="1001"/>
      <c r="E40" s="1002"/>
      <c r="F40" s="1006" t="s">
        <v>1667</v>
      </c>
      <c r="G40" s="1006"/>
      <c r="H40" s="1006"/>
      <c r="I40" s="1006"/>
      <c r="J40" s="1006"/>
      <c r="K40" s="1006"/>
      <c r="L40" s="1006"/>
      <c r="M40" s="1006"/>
      <c r="N40" s="1007"/>
      <c r="O40" s="86"/>
    </row>
    <row r="41" spans="1:23" x14ac:dyDescent="0.3">
      <c r="B41" s="1003"/>
      <c r="C41" s="1004"/>
      <c r="D41" s="1004"/>
      <c r="E41" s="1005"/>
      <c r="F41" s="1008" t="s">
        <v>1686</v>
      </c>
      <c r="G41" s="1008"/>
      <c r="H41" s="1008"/>
      <c r="I41" s="1008"/>
      <c r="J41" s="1008"/>
      <c r="K41" s="1008"/>
      <c r="L41" s="1008"/>
      <c r="M41" s="1008"/>
      <c r="N41" s="1009"/>
      <c r="O41" s="86"/>
    </row>
    <row r="42" spans="1:23" x14ac:dyDescent="0.3">
      <c r="B42" s="318"/>
      <c r="O42" s="86"/>
    </row>
    <row r="43" spans="1:23" s="1" customFormat="1" x14ac:dyDescent="0.3">
      <c r="A43" s="319" t="s">
        <v>1392</v>
      </c>
      <c r="B43" s="936" t="s">
        <v>17</v>
      </c>
      <c r="C43" s="936"/>
      <c r="D43" s="936"/>
      <c r="E43" s="936"/>
      <c r="F43" s="936"/>
      <c r="G43" s="936"/>
      <c r="H43" s="936"/>
      <c r="I43" s="936"/>
      <c r="J43" s="936"/>
      <c r="K43" s="936"/>
      <c r="L43" s="936"/>
      <c r="M43" s="936"/>
      <c r="N43" s="936"/>
      <c r="O43" s="937"/>
    </row>
    <row r="44" spans="1:23" s="1" customFormat="1" ht="15" thickBot="1" x14ac:dyDescent="0.35">
      <c r="A44" s="908"/>
      <c r="B44" s="302"/>
      <c r="C44" s="302"/>
      <c r="D44" s="302"/>
      <c r="E44" s="302"/>
      <c r="F44" s="302"/>
      <c r="G44" s="302"/>
      <c r="H44" s="302"/>
      <c r="I44" s="302"/>
      <c r="J44" s="302"/>
      <c r="K44" s="302"/>
      <c r="L44" s="302"/>
      <c r="M44" s="302"/>
      <c r="N44" s="302"/>
      <c r="O44" s="320"/>
    </row>
    <row r="45" spans="1:23" s="1" customFormat="1" ht="57.6" customHeight="1" x14ac:dyDescent="0.3">
      <c r="A45" s="648"/>
      <c r="B45" s="909" t="s">
        <v>1668</v>
      </c>
      <c r="C45" s="910"/>
      <c r="D45" s="910"/>
      <c r="E45" s="910"/>
      <c r="F45" s="910"/>
      <c r="G45" s="910"/>
      <c r="H45" s="910"/>
      <c r="I45" s="910"/>
      <c r="J45" s="910"/>
      <c r="K45" s="910"/>
      <c r="L45" s="910"/>
      <c r="M45" s="910"/>
      <c r="N45" s="910"/>
      <c r="O45" s="911"/>
    </row>
    <row r="46" spans="1:23" s="1" customFormat="1" ht="57.6" customHeight="1" x14ac:dyDescent="0.3">
      <c r="A46" s="648"/>
      <c r="B46" s="912"/>
      <c r="C46" s="913"/>
      <c r="D46" s="913"/>
      <c r="E46" s="913"/>
      <c r="F46" s="913"/>
      <c r="G46" s="913"/>
      <c r="H46" s="913"/>
      <c r="I46" s="913"/>
      <c r="J46" s="913"/>
      <c r="K46" s="913"/>
      <c r="L46" s="913"/>
      <c r="M46" s="913"/>
      <c r="N46" s="913"/>
      <c r="O46" s="914"/>
    </row>
    <row r="47" spans="1:23" s="1" customFormat="1" ht="40.950000000000003" customHeight="1" x14ac:dyDescent="0.3">
      <c r="A47" s="648"/>
      <c r="B47" s="912"/>
      <c r="C47" s="913"/>
      <c r="D47" s="913"/>
      <c r="E47" s="913"/>
      <c r="F47" s="913"/>
      <c r="G47" s="913"/>
      <c r="H47" s="913"/>
      <c r="I47" s="913"/>
      <c r="J47" s="913"/>
      <c r="K47" s="913"/>
      <c r="L47" s="913"/>
      <c r="M47" s="913"/>
      <c r="N47" s="913"/>
      <c r="O47" s="914"/>
    </row>
    <row r="48" spans="1:23" s="1" customFormat="1" ht="24.6" customHeight="1" thickBot="1" x14ac:dyDescent="0.35">
      <c r="A48" s="648"/>
      <c r="B48" s="915"/>
      <c r="C48" s="916"/>
      <c r="D48" s="916"/>
      <c r="E48" s="916"/>
      <c r="F48" s="916"/>
      <c r="G48" s="916"/>
      <c r="H48" s="916"/>
      <c r="I48" s="916"/>
      <c r="J48" s="916"/>
      <c r="K48" s="916"/>
      <c r="L48" s="916"/>
      <c r="M48" s="916"/>
      <c r="N48" s="916"/>
      <c r="O48" s="917"/>
    </row>
    <row r="49" spans="1:15" x14ac:dyDescent="0.3">
      <c r="A49" s="648"/>
      <c r="B49" s="23"/>
      <c r="C49" s="321"/>
      <c r="D49" s="321"/>
      <c r="E49" s="321"/>
      <c r="O49" s="970"/>
    </row>
    <row r="50" spans="1:15" x14ac:dyDescent="0.3">
      <c r="A50" s="648"/>
      <c r="B50" s="322" t="s">
        <v>1393</v>
      </c>
      <c r="C50" s="321"/>
      <c r="D50" s="321"/>
      <c r="E50" s="321"/>
      <c r="O50" s="970"/>
    </row>
    <row r="51" spans="1:15" ht="15" thickBot="1" x14ac:dyDescent="0.35">
      <c r="A51" s="648"/>
      <c r="B51" s="325" t="s">
        <v>1761</v>
      </c>
      <c r="H51" s="69"/>
      <c r="J51" s="149"/>
      <c r="O51" s="970"/>
    </row>
    <row r="52" spans="1:15" ht="15" thickBot="1" x14ac:dyDescent="0.35">
      <c r="A52" s="648"/>
      <c r="B52" s="23" t="s">
        <v>1394</v>
      </c>
      <c r="F52" s="932" t="str">
        <f>IF(AND(COUNTIF(G31:L31,"JA")=2,J17&gt;0),"JA","NEEN")</f>
        <v>NEEN</v>
      </c>
      <c r="G52" s="888"/>
      <c r="H52" s="115" t="s">
        <v>1382</v>
      </c>
      <c r="J52" s="149"/>
      <c r="O52" s="970"/>
    </row>
    <row r="53" spans="1:15" ht="15" thickBot="1" x14ac:dyDescent="0.35">
      <c r="A53" s="648"/>
      <c r="B53" s="23"/>
      <c r="F53" s="86"/>
      <c r="G53" s="86"/>
      <c r="H53" s="13"/>
      <c r="J53" s="149"/>
      <c r="O53" s="970"/>
    </row>
    <row r="54" spans="1:15" ht="15" thickBot="1" x14ac:dyDescent="0.35">
      <c r="A54" s="648"/>
      <c r="B54" s="23" t="s">
        <v>1772</v>
      </c>
      <c r="F54" s="932" t="str">
        <f>IF(OR(F52="NEEN",'Generieke input'!AA48="CDV/CDO"),"NVT", IF(F55&gt;F57,"JA","NEEN"))</f>
        <v>NVT</v>
      </c>
      <c r="G54" s="888"/>
      <c r="H54" s="115" t="s">
        <v>1749</v>
      </c>
      <c r="J54" s="323"/>
      <c r="O54" s="970"/>
    </row>
    <row r="55" spans="1:15" ht="15" thickBot="1" x14ac:dyDescent="0.35">
      <c r="A55" s="648"/>
      <c r="B55" s="8" t="s">
        <v>1672</v>
      </c>
      <c r="F55" s="930">
        <v>75</v>
      </c>
      <c r="G55" s="931"/>
      <c r="H55" s="513" t="s">
        <v>1395</v>
      </c>
      <c r="J55" s="323"/>
      <c r="O55" s="970"/>
    </row>
    <row r="56" spans="1:15" ht="15" thickBot="1" x14ac:dyDescent="0.35">
      <c r="A56" s="648"/>
      <c r="B56" s="8" t="s">
        <v>1396</v>
      </c>
      <c r="F56" s="932">
        <f>IF('Generieke input'!AA48="GAW",'Parameters+keuzes'!D32,'Parameters+keuzes'!C32)</f>
        <v>71.599999999999994</v>
      </c>
      <c r="G56" s="888"/>
      <c r="H56" s="513" t="s">
        <v>1397</v>
      </c>
      <c r="J56" s="324"/>
      <c r="O56" s="970"/>
    </row>
    <row r="57" spans="1:15" ht="15" thickBot="1" x14ac:dyDescent="0.35">
      <c r="A57" s="648"/>
      <c r="B57" s="8" t="s">
        <v>1398</v>
      </c>
      <c r="F57" s="932">
        <f>1.25*F56</f>
        <v>89.5</v>
      </c>
      <c r="G57" s="888"/>
      <c r="H57" s="513" t="s">
        <v>1390</v>
      </c>
      <c r="J57" s="323"/>
      <c r="O57" s="970"/>
    </row>
    <row r="58" spans="1:15" ht="15" thickBot="1" x14ac:dyDescent="0.35">
      <c r="A58" s="648"/>
      <c r="B58" s="8" t="s">
        <v>1669</v>
      </c>
      <c r="F58" s="932" t="str">
        <f>IF(OR(F52="NEEN",J17=0,F54="NEEN",F54="NVT"),"NIET VEREIST",IF(OR(F80="JA",F81="JA"),"VEREIST EN OK","VEREIST EN NIET OK"))</f>
        <v>NIET VEREIST</v>
      </c>
      <c r="G58" s="888"/>
      <c r="H58" s="69"/>
      <c r="J58" s="323"/>
      <c r="O58" s="970"/>
    </row>
    <row r="59" spans="1:15" x14ac:dyDescent="0.3">
      <c r="A59" s="648"/>
      <c r="B59" s="23"/>
      <c r="F59" s="86"/>
      <c r="G59" s="86"/>
      <c r="H59" s="69"/>
      <c r="J59" s="323"/>
      <c r="O59" s="970"/>
    </row>
    <row r="60" spans="1:15" x14ac:dyDescent="0.3">
      <c r="A60" s="648"/>
      <c r="B60" s="23" t="s">
        <v>1399</v>
      </c>
      <c r="F60" s="86"/>
      <c r="G60" s="86"/>
      <c r="H60" s="69"/>
      <c r="J60" s="323"/>
      <c r="O60" s="970"/>
    </row>
    <row r="61" spans="1:15" x14ac:dyDescent="0.3">
      <c r="A61" s="648"/>
      <c r="B61" s="325"/>
      <c r="C61" s="2"/>
      <c r="D61" s="10"/>
      <c r="E61" s="10"/>
      <c r="F61" s="20"/>
      <c r="G61" s="20"/>
      <c r="H61" s="20"/>
      <c r="I61" s="10"/>
      <c r="J61" s="514"/>
      <c r="O61" s="970"/>
    </row>
    <row r="62" spans="1:15" x14ac:dyDescent="0.3">
      <c r="A62" s="648"/>
      <c r="B62" s="8" t="s">
        <v>1400</v>
      </c>
      <c r="C62">
        <f>K16</f>
        <v>2024</v>
      </c>
      <c r="D62" s="513" t="s">
        <v>1401</v>
      </c>
      <c r="E62" s="10"/>
      <c r="F62" s="696">
        <f>SUM(G64:G66)</f>
        <v>120000</v>
      </c>
      <c r="G62" s="986"/>
      <c r="H62" s="100" t="s">
        <v>1156</v>
      </c>
      <c r="I62" s="10"/>
      <c r="J62" s="515"/>
      <c r="O62" s="970"/>
    </row>
    <row r="63" spans="1:15" x14ac:dyDescent="0.3">
      <c r="A63" s="648"/>
      <c r="B63" s="327" t="s">
        <v>1402</v>
      </c>
      <c r="D63" s="10"/>
      <c r="E63" s="10"/>
      <c r="F63" s="512"/>
      <c r="G63" s="20"/>
      <c r="H63" s="100"/>
      <c r="I63" s="10"/>
      <c r="J63" s="515"/>
      <c r="O63" s="970"/>
    </row>
    <row r="64" spans="1:15" x14ac:dyDescent="0.3">
      <c r="A64" s="648"/>
      <c r="B64" s="327" t="s">
        <v>1403</v>
      </c>
      <c r="D64" s="10"/>
      <c r="E64" s="10"/>
      <c r="F64" s="512"/>
      <c r="G64" s="516">
        <v>120000</v>
      </c>
      <c r="H64" s="517" t="s">
        <v>1404</v>
      </c>
      <c r="I64" s="10"/>
      <c r="J64" s="515"/>
      <c r="O64" s="970"/>
    </row>
    <row r="65" spans="1:15" x14ac:dyDescent="0.3">
      <c r="A65" s="648"/>
      <c r="B65" s="327" t="s">
        <v>1405</v>
      </c>
      <c r="D65" s="10"/>
      <c r="E65" s="10"/>
      <c r="F65" s="512"/>
      <c r="G65" s="516">
        <v>0</v>
      </c>
      <c r="H65" s="517" t="s">
        <v>1404</v>
      </c>
      <c r="I65" s="10"/>
      <c r="J65" s="515"/>
      <c r="O65" s="970"/>
    </row>
    <row r="66" spans="1:15" x14ac:dyDescent="0.3">
      <c r="A66" s="648"/>
      <c r="B66" s="327" t="s">
        <v>1406</v>
      </c>
      <c r="D66" s="10"/>
      <c r="E66" s="10"/>
      <c r="F66" s="512"/>
      <c r="G66" s="516">
        <v>0</v>
      </c>
      <c r="H66" s="517" t="s">
        <v>1404</v>
      </c>
      <c r="I66" s="10"/>
      <c r="J66" s="515"/>
      <c r="O66" s="970"/>
    </row>
    <row r="67" spans="1:15" x14ac:dyDescent="0.3">
      <c r="A67" s="648"/>
      <c r="B67" s="327"/>
      <c r="D67" s="10"/>
      <c r="E67" s="10"/>
      <c r="F67" s="512"/>
      <c r="G67" s="20"/>
      <c r="H67" s="100"/>
      <c r="I67" s="10"/>
      <c r="J67" s="515"/>
      <c r="O67" s="970"/>
    </row>
    <row r="68" spans="1:15" x14ac:dyDescent="0.3">
      <c r="A68" s="648"/>
      <c r="B68" s="8" t="s">
        <v>1407</v>
      </c>
      <c r="C68">
        <f>C62-4</f>
        <v>2020</v>
      </c>
      <c r="D68" s="513" t="s">
        <v>1408</v>
      </c>
      <c r="E68" s="10"/>
      <c r="F68" s="696">
        <f>SUM(G70:G72)</f>
        <v>110000</v>
      </c>
      <c r="G68" s="986"/>
      <c r="H68" s="100"/>
      <c r="I68" s="10"/>
      <c r="J68" s="515"/>
      <c r="O68" s="970"/>
    </row>
    <row r="69" spans="1:15" x14ac:dyDescent="0.3">
      <c r="A69" s="648"/>
      <c r="B69" s="327" t="s">
        <v>1402</v>
      </c>
      <c r="D69" s="10"/>
      <c r="E69" s="10"/>
      <c r="F69" s="512"/>
      <c r="G69" s="20"/>
      <c r="H69" s="100"/>
      <c r="I69" s="10"/>
      <c r="J69" s="515"/>
      <c r="O69" s="970"/>
    </row>
    <row r="70" spans="1:15" x14ac:dyDescent="0.3">
      <c r="A70" s="648"/>
      <c r="B70" s="327" t="s">
        <v>1403</v>
      </c>
      <c r="C70" s="92"/>
      <c r="D70" s="518"/>
      <c r="E70" s="518"/>
      <c r="F70" s="519"/>
      <c r="G70" s="516">
        <v>110000</v>
      </c>
      <c r="H70" s="517" t="s">
        <v>1404</v>
      </c>
      <c r="I70" s="10"/>
      <c r="J70" s="515"/>
      <c r="O70" s="970"/>
    </row>
    <row r="71" spans="1:15" x14ac:dyDescent="0.3">
      <c r="A71" s="648"/>
      <c r="B71" s="327" t="s">
        <v>1405</v>
      </c>
      <c r="C71" s="92"/>
      <c r="D71" s="518"/>
      <c r="E71" s="518"/>
      <c r="F71" s="519"/>
      <c r="G71" s="516">
        <v>0</v>
      </c>
      <c r="H71" s="517" t="s">
        <v>1404</v>
      </c>
      <c r="I71" s="10"/>
      <c r="J71" s="515"/>
      <c r="O71" s="970"/>
    </row>
    <row r="72" spans="1:15" x14ac:dyDescent="0.3">
      <c r="A72" s="648"/>
      <c r="B72" s="327" t="s">
        <v>1406</v>
      </c>
      <c r="C72" s="92"/>
      <c r="D72" s="518"/>
      <c r="E72" s="518"/>
      <c r="F72" s="519"/>
      <c r="G72" s="516">
        <v>0</v>
      </c>
      <c r="H72" s="517" t="s">
        <v>1404</v>
      </c>
      <c r="I72" s="10"/>
      <c r="J72" s="515"/>
      <c r="O72" s="970"/>
    </row>
    <row r="73" spans="1:15" x14ac:dyDescent="0.3">
      <c r="A73" s="648"/>
      <c r="B73" s="327"/>
      <c r="C73" s="92"/>
      <c r="D73" s="518"/>
      <c r="E73" s="518"/>
      <c r="F73" s="519"/>
      <c r="G73" s="520"/>
      <c r="H73" s="100"/>
      <c r="I73" s="10"/>
      <c r="J73" s="515"/>
      <c r="O73" s="970"/>
    </row>
    <row r="74" spans="1:15" x14ac:dyDescent="0.3">
      <c r="A74" s="648"/>
      <c r="B74" s="8" t="s">
        <v>1409</v>
      </c>
      <c r="D74" s="10"/>
      <c r="E74" s="10"/>
      <c r="F74" s="984">
        <f>IFERROR(F62/F68-1,100%)</f>
        <v>9.0909090909090828E-2</v>
      </c>
      <c r="G74" s="984"/>
      <c r="H74" s="100" t="s">
        <v>1156</v>
      </c>
      <c r="I74" s="10"/>
      <c r="J74" s="515"/>
      <c r="O74" s="970"/>
    </row>
    <row r="75" spans="1:15" x14ac:dyDescent="0.3">
      <c r="A75" s="648"/>
      <c r="B75" s="8" t="s">
        <v>1410</v>
      </c>
      <c r="D75" s="10"/>
      <c r="E75" s="10"/>
      <c r="F75" s="984">
        <f>F78/F77-1</f>
        <v>0.21073152617898239</v>
      </c>
      <c r="G75" s="984"/>
      <c r="H75" s="100" t="s">
        <v>1156</v>
      </c>
      <c r="I75" s="10"/>
      <c r="J75" s="515"/>
      <c r="O75" s="970"/>
    </row>
    <row r="76" spans="1:15" x14ac:dyDescent="0.3">
      <c r="A76" s="648"/>
      <c r="B76" s="8"/>
      <c r="D76" s="10"/>
      <c r="E76" s="10"/>
      <c r="F76" s="521"/>
      <c r="G76" s="521"/>
      <c r="H76" s="100"/>
      <c r="I76" s="10"/>
      <c r="J76" s="515"/>
      <c r="O76" s="970"/>
    </row>
    <row r="77" spans="1:15" x14ac:dyDescent="0.3">
      <c r="A77" s="648"/>
      <c r="B77" s="8" t="s">
        <v>1411</v>
      </c>
      <c r="C77">
        <f>C68</f>
        <v>2020</v>
      </c>
      <c r="D77" s="5" t="s">
        <v>1382</v>
      </c>
      <c r="E77" s="10"/>
      <c r="F77" s="985">
        <f>_xlfn.XLOOKUP(C77,'Parameters+keuzes'!A38:A44,'Parameters+keuzes'!B38:B44,0,0)</f>
        <v>107.72</v>
      </c>
      <c r="G77" s="985"/>
      <c r="H77" s="513" t="s">
        <v>1412</v>
      </c>
      <c r="I77" s="10"/>
      <c r="J77" s="515"/>
      <c r="O77" s="970"/>
    </row>
    <row r="78" spans="1:15" x14ac:dyDescent="0.3">
      <c r="A78" s="648"/>
      <c r="B78" s="8" t="s">
        <v>1413</v>
      </c>
      <c r="C78">
        <f>C77+4</f>
        <v>2024</v>
      </c>
      <c r="D78" s="5" t="s">
        <v>1382</v>
      </c>
      <c r="E78" s="10"/>
      <c r="F78" s="985">
        <f>_xlfn.XLOOKUP(C78,'Parameters+keuzes'!A38:A45,'Parameters+keuzes'!B38:B45,0,0)</f>
        <v>130.41999999999999</v>
      </c>
      <c r="G78" s="985"/>
      <c r="H78" s="513" t="s">
        <v>1412</v>
      </c>
      <c r="I78" s="10"/>
      <c r="J78" s="515"/>
      <c r="O78" s="970"/>
    </row>
    <row r="79" spans="1:15" x14ac:dyDescent="0.3">
      <c r="A79" s="648"/>
      <c r="B79" s="8"/>
      <c r="D79" s="10"/>
      <c r="E79" s="10"/>
      <c r="F79" s="984"/>
      <c r="G79" s="986"/>
      <c r="H79" s="100"/>
      <c r="I79" s="10"/>
      <c r="J79" s="515"/>
      <c r="O79" s="970"/>
    </row>
    <row r="80" spans="1:15" x14ac:dyDescent="0.3">
      <c r="A80" s="648"/>
      <c r="B80" s="8" t="s">
        <v>1414</v>
      </c>
      <c r="D80" s="10"/>
      <c r="E80" s="10"/>
      <c r="F80" s="984" t="str">
        <f>IF(F74&lt;=F75,"JA","NEEN")</f>
        <v>JA</v>
      </c>
      <c r="G80" s="986"/>
      <c r="H80" s="100" t="s">
        <v>1382</v>
      </c>
      <c r="I80" s="10"/>
      <c r="J80" s="515"/>
      <c r="O80" s="970"/>
    </row>
    <row r="81" spans="1:15" x14ac:dyDescent="0.3">
      <c r="A81" s="648"/>
      <c r="B81" s="8" t="str">
        <f>"Verantwoording materiële investering in periode " &amp;C68&amp;"-"&amp;C62&amp;"?"</f>
        <v>Verantwoording materiële investering in periode 2020-2024?</v>
      </c>
      <c r="C81" s="329"/>
      <c r="D81" s="329"/>
      <c r="E81" s="329"/>
      <c r="F81" s="987" t="s">
        <v>1</v>
      </c>
      <c r="G81" s="988"/>
      <c r="H81" s="328" t="str">
        <f>IF(F80="NEEN","Voeg bewijs materiële investering toe.","")</f>
        <v/>
      </c>
      <c r="I81" s="329"/>
      <c r="K81" s="329"/>
      <c r="L81" s="329"/>
      <c r="M81" s="329"/>
      <c r="N81" s="329"/>
      <c r="O81" s="970"/>
    </row>
    <row r="82" spans="1:15" x14ac:dyDescent="0.3">
      <c r="A82" s="648"/>
      <c r="B82" s="8"/>
      <c r="H82" s="69"/>
      <c r="J82" s="323"/>
      <c r="O82" s="970"/>
    </row>
    <row r="83" spans="1:15" x14ac:dyDescent="0.3">
      <c r="A83" s="648"/>
      <c r="B83" s="330" t="s">
        <v>1415</v>
      </c>
      <c r="H83" s="69"/>
      <c r="O83" s="970"/>
    </row>
    <row r="84" spans="1:15" x14ac:dyDescent="0.3">
      <c r="A84" s="648"/>
      <c r="B84" s="8" t="s">
        <v>1416</v>
      </c>
      <c r="E84" t="s">
        <v>1417</v>
      </c>
      <c r="F84" s="973">
        <f>J30</f>
        <v>0</v>
      </c>
      <c r="G84" s="962"/>
      <c r="H84" s="2" t="s">
        <v>1418</v>
      </c>
      <c r="K84" s="37"/>
      <c r="O84" s="970"/>
    </row>
    <row r="85" spans="1:15" x14ac:dyDescent="0.3">
      <c r="A85" s="648"/>
      <c r="B85" s="8" t="s">
        <v>1419</v>
      </c>
      <c r="E85" t="s">
        <v>1420</v>
      </c>
      <c r="F85" s="973">
        <f>IF(F52="JA",MAX(ROUND(2.5%-F84,4),0),0%)</f>
        <v>0</v>
      </c>
      <c r="G85" s="974"/>
      <c r="H85" s="2" t="s">
        <v>1156</v>
      </c>
      <c r="K85" s="37"/>
      <c r="O85" s="970"/>
    </row>
    <row r="86" spans="1:15" x14ac:dyDescent="0.3">
      <c r="A86" s="648"/>
      <c r="B86" s="8"/>
      <c r="F86" s="331"/>
      <c r="H86" s="2"/>
      <c r="O86" s="970"/>
    </row>
    <row r="87" spans="1:15" x14ac:dyDescent="0.3">
      <c r="A87" s="648"/>
      <c r="B87" s="8" t="s">
        <v>1421</v>
      </c>
      <c r="E87" t="s">
        <v>1422</v>
      </c>
      <c r="F87" s="961">
        <f>F85*J17</f>
        <v>0</v>
      </c>
      <c r="G87" s="962"/>
      <c r="H87" s="2" t="s">
        <v>1156</v>
      </c>
      <c r="O87" s="970"/>
    </row>
    <row r="88" spans="1:15" x14ac:dyDescent="0.3">
      <c r="A88" s="648"/>
      <c r="B88" s="8"/>
      <c r="F88" s="326"/>
      <c r="G88" s="86"/>
      <c r="H88" s="2"/>
      <c r="O88" s="970"/>
    </row>
    <row r="89" spans="1:15" x14ac:dyDescent="0.3">
      <c r="A89" s="648"/>
      <c r="B89" s="8" t="s">
        <v>1670</v>
      </c>
      <c r="E89" s="37" t="str">
        <f>"F=" &amp;E130&amp; "xDxE"</f>
        <v>F=365xDxE</v>
      </c>
      <c r="F89" s="968">
        <f>PRODUCT(F90:G91,E130)</f>
        <v>0</v>
      </c>
      <c r="G89" s="756"/>
      <c r="H89" s="2" t="s">
        <v>1156</v>
      </c>
      <c r="O89" s="970"/>
    </row>
    <row r="90" spans="1:15" x14ac:dyDescent="0.3">
      <c r="A90" s="648"/>
      <c r="B90" s="8" t="s">
        <v>1152</v>
      </c>
      <c r="E90" t="s">
        <v>1423</v>
      </c>
      <c r="F90" s="971">
        <f>'Generieke input'!AA47</f>
        <v>0</v>
      </c>
      <c r="G90" s="972"/>
      <c r="H90" s="2" t="s">
        <v>1424</v>
      </c>
      <c r="O90" s="970"/>
    </row>
    <row r="91" spans="1:15" x14ac:dyDescent="0.3">
      <c r="A91" s="648"/>
      <c r="B91" s="8" t="s">
        <v>1671</v>
      </c>
      <c r="E91" t="s">
        <v>1425</v>
      </c>
      <c r="F91" s="968">
        <f>'Generieke input'!H36</f>
        <v>0</v>
      </c>
      <c r="G91" s="756"/>
      <c r="H91" s="2" t="s">
        <v>1424</v>
      </c>
      <c r="O91" s="970"/>
    </row>
    <row r="92" spans="1:15" ht="15" thickBot="1" x14ac:dyDescent="0.35">
      <c r="A92" s="648"/>
      <c r="B92" s="8"/>
      <c r="F92" s="969"/>
      <c r="G92" s="970"/>
      <c r="O92" s="970"/>
    </row>
    <row r="93" spans="1:15" ht="15" thickBot="1" x14ac:dyDescent="0.35">
      <c r="A93" s="648"/>
      <c r="B93" s="23" t="s">
        <v>1426</v>
      </c>
      <c r="C93" s="321"/>
      <c r="D93" s="321"/>
      <c r="E93" t="s">
        <v>1427</v>
      </c>
      <c r="F93" s="963" t="e">
        <f>ROUND(F87/F89,2)</f>
        <v>#DIV/0!</v>
      </c>
      <c r="G93" s="964"/>
      <c r="H93" s="2" t="s">
        <v>1156</v>
      </c>
      <c r="O93" s="970"/>
    </row>
    <row r="94" spans="1:15" x14ac:dyDescent="0.3">
      <c r="A94" s="648"/>
      <c r="B94" s="8"/>
      <c r="C94" s="321"/>
      <c r="D94" s="321"/>
      <c r="E94" s="321"/>
      <c r="O94" s="970"/>
    </row>
    <row r="95" spans="1:15" ht="15" hidden="1" thickBot="1" x14ac:dyDescent="0.35">
      <c r="A95" s="648"/>
      <c r="B95" s="332" t="s">
        <v>1569</v>
      </c>
      <c r="C95" s="321"/>
      <c r="D95" s="321"/>
      <c r="E95" s="321"/>
      <c r="F95" s="918"/>
      <c r="G95" s="918"/>
      <c r="O95" s="970"/>
    </row>
    <row r="96" spans="1:15" hidden="1" x14ac:dyDescent="0.3">
      <c r="A96" s="648"/>
      <c r="B96" s="8" t="s">
        <v>1428</v>
      </c>
      <c r="C96" s="321"/>
      <c r="D96" s="321"/>
      <c r="E96" s="321"/>
      <c r="F96" s="754" t="str">
        <f>IF(J27&gt;=0,"Marge &gt;=0%","Marge &lt;0%")</f>
        <v>Marge &gt;=0%</v>
      </c>
      <c r="G96" s="756"/>
      <c r="H96" s="2" t="s">
        <v>1429</v>
      </c>
      <c r="N96" t="s">
        <v>1369</v>
      </c>
      <c r="O96" s="970"/>
    </row>
    <row r="97" spans="1:15" hidden="1" x14ac:dyDescent="0.3">
      <c r="A97" s="648"/>
      <c r="B97" s="8" t="s">
        <v>1430</v>
      </c>
      <c r="C97" s="321"/>
      <c r="D97" s="321"/>
      <c r="E97" t="s">
        <v>1431</v>
      </c>
      <c r="F97" s="754" t="str">
        <f>IF(AND(F52="JA",J37&gt;=0),"5%","10%")</f>
        <v>10%</v>
      </c>
      <c r="G97" s="756"/>
      <c r="H97" s="2" t="s">
        <v>1432</v>
      </c>
      <c r="N97" t="s">
        <v>1369</v>
      </c>
      <c r="O97" s="970"/>
    </row>
    <row r="98" spans="1:15" hidden="1" x14ac:dyDescent="0.3">
      <c r="A98" s="648"/>
      <c r="B98" s="8" t="s">
        <v>1396</v>
      </c>
      <c r="C98" s="321"/>
      <c r="D98" s="321"/>
      <c r="E98" t="s">
        <v>1433</v>
      </c>
      <c r="F98" s="754">
        <f>F56</f>
        <v>71.599999999999994</v>
      </c>
      <c r="G98" s="756"/>
      <c r="H98" s="2" t="s">
        <v>1156</v>
      </c>
      <c r="N98" t="s">
        <v>1369</v>
      </c>
      <c r="O98" s="970"/>
    </row>
    <row r="99" spans="1:15" hidden="1" x14ac:dyDescent="0.3">
      <c r="A99" s="648"/>
      <c r="B99" s="8" t="s">
        <v>1398</v>
      </c>
      <c r="C99" s="321"/>
      <c r="D99" s="321"/>
      <c r="E99" t="s">
        <v>1434</v>
      </c>
      <c r="F99" s="989">
        <f>ROUND(1.25*F98,2)</f>
        <v>89.5</v>
      </c>
      <c r="G99" s="990"/>
      <c r="H99" s="2" t="s">
        <v>1156</v>
      </c>
      <c r="N99" t="s">
        <v>1369</v>
      </c>
      <c r="O99" s="970"/>
    </row>
    <row r="100" spans="1:15" hidden="1" x14ac:dyDescent="0.3">
      <c r="A100" s="648"/>
      <c r="B100" s="23" t="s">
        <v>1435</v>
      </c>
      <c r="C100" s="321"/>
      <c r="D100" s="321"/>
      <c r="E100" t="s">
        <v>1436</v>
      </c>
      <c r="F100" s="991">
        <f>ROUND(F97*F99,2)</f>
        <v>8.9499999999999993</v>
      </c>
      <c r="G100" s="992"/>
      <c r="H100" s="2" t="s">
        <v>1156</v>
      </c>
      <c r="N100" t="s">
        <v>1369</v>
      </c>
      <c r="O100" s="970"/>
    </row>
    <row r="101" spans="1:15" ht="15" thickBot="1" x14ac:dyDescent="0.35">
      <c r="A101" s="648"/>
      <c r="B101" s="8"/>
      <c r="C101" s="321"/>
      <c r="D101" s="321"/>
      <c r="E101" s="321"/>
      <c r="O101" s="970"/>
    </row>
    <row r="102" spans="1:15" ht="15" thickBot="1" x14ac:dyDescent="0.35">
      <c r="A102" s="648"/>
      <c r="B102" s="23" t="s">
        <v>1773</v>
      </c>
      <c r="C102" s="321"/>
      <c r="D102" s="321"/>
      <c r="E102" s="333" t="str">
        <f>IF(F58="NIET VEREIST", "G","MIN (G,K)")</f>
        <v>G</v>
      </c>
      <c r="F102" s="993" t="e">
        <f>IF(F58&lt;&gt;"VEREIST EN NIET OK",IF(OR(F54="NEEN",F54="NVT"),F93,MIN(F93,F100)),0)</f>
        <v>#DIV/0!</v>
      </c>
      <c r="G102" s="888"/>
      <c r="H102" s="2" t="s">
        <v>1382</v>
      </c>
      <c r="O102" s="970"/>
    </row>
    <row r="103" spans="1:15" x14ac:dyDescent="0.3">
      <c r="A103" s="648"/>
      <c r="B103" s="8"/>
      <c r="C103" s="321"/>
      <c r="D103" s="321"/>
      <c r="E103" s="321"/>
      <c r="O103" s="970"/>
    </row>
    <row r="104" spans="1:15" x14ac:dyDescent="0.3">
      <c r="A104" s="648"/>
      <c r="B104" s="638" t="s">
        <v>1774</v>
      </c>
      <c r="C104" s="639"/>
      <c r="D104" s="639"/>
      <c r="E104" s="639"/>
      <c r="F104" s="772"/>
      <c r="G104" s="965" t="e">
        <f>F102</f>
        <v>#DIV/0!</v>
      </c>
      <c r="H104" s="966"/>
      <c r="I104" s="967"/>
      <c r="J104" s="9"/>
      <c r="O104" s="970"/>
    </row>
    <row r="105" spans="1:15" ht="22.2" customHeight="1" x14ac:dyDescent="0.3">
      <c r="A105" s="648"/>
      <c r="B105" s="994"/>
      <c r="C105" s="995"/>
      <c r="D105" s="995"/>
      <c r="E105" s="995"/>
      <c r="F105" s="996"/>
      <c r="G105" s="997"/>
      <c r="H105" s="998"/>
      <c r="I105" s="998"/>
      <c r="J105" s="998"/>
      <c r="K105" s="998"/>
      <c r="L105" s="998"/>
      <c r="M105" s="998"/>
      <c r="N105" s="999"/>
      <c r="O105" s="970"/>
    </row>
    <row r="106" spans="1:15" x14ac:dyDescent="0.3">
      <c r="A106" s="648"/>
      <c r="B106" s="949"/>
      <c r="C106" s="950"/>
      <c r="D106" s="950"/>
      <c r="E106" s="950"/>
      <c r="F106" s="950"/>
      <c r="G106" s="950"/>
      <c r="H106" s="950"/>
      <c r="I106" s="950"/>
      <c r="J106" s="950"/>
      <c r="K106" s="950"/>
      <c r="L106" s="950"/>
      <c r="M106" s="950"/>
      <c r="N106" s="951"/>
      <c r="O106" s="970"/>
    </row>
    <row r="107" spans="1:15" x14ac:dyDescent="0.3">
      <c r="A107" s="648"/>
      <c r="B107" s="23"/>
      <c r="C107" s="3"/>
      <c r="D107" s="3"/>
      <c r="E107" s="3"/>
      <c r="O107" s="970"/>
    </row>
    <row r="108" spans="1:15" x14ac:dyDescent="0.3">
      <c r="A108" s="648"/>
      <c r="B108" s="757" t="s">
        <v>1438</v>
      </c>
      <c r="C108" s="758"/>
      <c r="D108" s="758"/>
      <c r="E108" s="759"/>
      <c r="F108" s="933" t="str">
        <f>F40 &amp; ". " &amp; F41</f>
        <v>Resultatenrekening (extracomptabel) van de betrokken zorgvorm (woonzorgcentrum en kortverblijf, DVC, GAW). Indien ontbrekend, kan vertrokken worden van het hogere beschikbare niveau, waarop dan vervolgens een verdeelsleutel wordt toegepast.</v>
      </c>
      <c r="G108" s="934"/>
      <c r="H108" s="934"/>
      <c r="I108" s="934"/>
      <c r="J108" s="934"/>
      <c r="K108" s="934"/>
      <c r="L108" s="934"/>
      <c r="M108" s="934"/>
      <c r="N108" s="935"/>
      <c r="O108" s="970"/>
    </row>
    <row r="109" spans="1:15" x14ac:dyDescent="0.3">
      <c r="A109" s="648"/>
      <c r="B109" s="35"/>
      <c r="C109" s="35"/>
      <c r="D109" s="35"/>
      <c r="E109" s="35"/>
      <c r="F109" s="933" t="s">
        <v>1842</v>
      </c>
      <c r="G109" s="934"/>
      <c r="H109" s="934"/>
      <c r="I109" s="934"/>
      <c r="J109" s="934"/>
      <c r="K109" s="934"/>
      <c r="L109" s="934"/>
      <c r="M109" s="934"/>
      <c r="N109" s="935"/>
      <c r="O109" s="970"/>
    </row>
    <row r="110" spans="1:15" ht="15" thickBot="1" x14ac:dyDescent="0.35">
      <c r="A110" s="648"/>
      <c r="B110" s="334"/>
      <c r="D110" s="3"/>
      <c r="E110" s="3"/>
      <c r="F110" s="321"/>
      <c r="O110" s="970"/>
    </row>
    <row r="111" spans="1:15" s="1" customFormat="1" ht="15" thickBot="1" x14ac:dyDescent="0.35">
      <c r="A111" s="335" t="s">
        <v>1439</v>
      </c>
      <c r="B111" s="922" t="s">
        <v>1601</v>
      </c>
      <c r="C111" s="922"/>
      <c r="D111" s="922"/>
      <c r="E111" s="922"/>
      <c r="F111" s="922"/>
      <c r="G111" s="922"/>
      <c r="H111" s="922"/>
      <c r="I111" s="922"/>
      <c r="J111" s="922"/>
      <c r="K111" s="922"/>
      <c r="L111" s="922"/>
      <c r="M111" s="922"/>
      <c r="N111" s="922"/>
      <c r="O111" s="923"/>
    </row>
    <row r="112" spans="1:15" s="1" customFormat="1" ht="15" thickBot="1" x14ac:dyDescent="0.35">
      <c r="A112" s="23"/>
      <c r="B112" s="302"/>
      <c r="C112" s="302"/>
      <c r="D112" s="302"/>
      <c r="E112" s="302"/>
      <c r="F112" s="302"/>
      <c r="G112" s="302"/>
      <c r="H112" s="302"/>
      <c r="I112" s="302"/>
      <c r="J112" s="302"/>
      <c r="K112" s="302"/>
      <c r="L112" s="302"/>
      <c r="M112" s="302"/>
      <c r="N112" s="302"/>
      <c r="O112" s="302"/>
    </row>
    <row r="113" spans="1:18" s="1" customFormat="1" x14ac:dyDescent="0.3">
      <c r="A113" s="23"/>
      <c r="B113" s="919" t="s">
        <v>1708</v>
      </c>
      <c r="C113" s="602"/>
      <c r="D113" s="602"/>
      <c r="E113" s="602"/>
      <c r="F113" s="602"/>
      <c r="G113" s="602"/>
      <c r="H113" s="602"/>
      <c r="I113" s="602"/>
      <c r="J113" s="602"/>
      <c r="K113" s="602"/>
      <c r="L113" s="602"/>
      <c r="M113" s="602"/>
      <c r="N113" s="602"/>
      <c r="O113" s="603"/>
    </row>
    <row r="114" spans="1:18" s="1" customFormat="1" x14ac:dyDescent="0.3">
      <c r="A114" s="23"/>
      <c r="B114" s="920"/>
      <c r="C114" s="605"/>
      <c r="D114" s="605"/>
      <c r="E114" s="605"/>
      <c r="F114" s="605"/>
      <c r="G114" s="605"/>
      <c r="H114" s="605"/>
      <c r="I114" s="605"/>
      <c r="J114" s="605"/>
      <c r="K114" s="605"/>
      <c r="L114" s="605"/>
      <c r="M114" s="605"/>
      <c r="N114" s="605"/>
      <c r="O114" s="606"/>
    </row>
    <row r="115" spans="1:18" s="1" customFormat="1" x14ac:dyDescent="0.3">
      <c r="A115" s="23"/>
      <c r="B115" s="920"/>
      <c r="C115" s="605"/>
      <c r="D115" s="605"/>
      <c r="E115" s="605"/>
      <c r="F115" s="605"/>
      <c r="G115" s="605"/>
      <c r="H115" s="605"/>
      <c r="I115" s="605"/>
      <c r="J115" s="605"/>
      <c r="K115" s="605"/>
      <c r="L115" s="605"/>
      <c r="M115" s="605"/>
      <c r="N115" s="605"/>
      <c r="O115" s="606"/>
    </row>
    <row r="116" spans="1:18" s="1" customFormat="1" x14ac:dyDescent="0.3">
      <c r="A116" s="23"/>
      <c r="B116" s="604"/>
      <c r="C116" s="605"/>
      <c r="D116" s="605"/>
      <c r="E116" s="605"/>
      <c r="F116" s="605"/>
      <c r="G116" s="605"/>
      <c r="H116" s="605"/>
      <c r="I116" s="605"/>
      <c r="J116" s="605"/>
      <c r="K116" s="605"/>
      <c r="L116" s="605"/>
      <c r="M116" s="605"/>
      <c r="N116" s="605"/>
      <c r="O116" s="606"/>
    </row>
    <row r="117" spans="1:18" s="1" customFormat="1" ht="15" thickBot="1" x14ac:dyDescent="0.35">
      <c r="A117" s="23"/>
      <c r="B117" s="607"/>
      <c r="C117" s="608"/>
      <c r="D117" s="608"/>
      <c r="E117" s="608"/>
      <c r="F117" s="608"/>
      <c r="G117" s="608"/>
      <c r="H117" s="608"/>
      <c r="I117" s="608"/>
      <c r="J117" s="608"/>
      <c r="K117" s="608"/>
      <c r="L117" s="608"/>
      <c r="M117" s="608"/>
      <c r="N117" s="608"/>
      <c r="O117" s="609"/>
    </row>
    <row r="118" spans="1:18" x14ac:dyDescent="0.3">
      <c r="A118" s="648"/>
      <c r="B118" s="293"/>
      <c r="C118" s="77"/>
      <c r="D118" s="77"/>
      <c r="E118" s="77"/>
      <c r="F118" s="77"/>
      <c r="G118" s="77"/>
      <c r="H118" s="77"/>
      <c r="I118" s="77"/>
      <c r="J118" s="77"/>
      <c r="K118" s="77"/>
      <c r="L118" s="77"/>
      <c r="M118" s="77"/>
      <c r="N118" s="77"/>
      <c r="O118" s="86"/>
    </row>
    <row r="119" spans="1:18" x14ac:dyDescent="0.3">
      <c r="A119" s="648"/>
      <c r="B119" s="27"/>
      <c r="C119" s="28"/>
      <c r="D119" s="28"/>
      <c r="E119" s="733" t="s">
        <v>1715</v>
      </c>
      <c r="F119" s="734"/>
      <c r="G119" s="733" t="s">
        <v>1440</v>
      </c>
      <c r="H119" s="735"/>
      <c r="I119" s="734"/>
      <c r="J119" s="733" t="s">
        <v>1716</v>
      </c>
      <c r="K119" s="735"/>
      <c r="L119" s="734"/>
      <c r="M119" s="733" t="s">
        <v>1441</v>
      </c>
      <c r="N119" s="736"/>
      <c r="O119" s="23"/>
      <c r="P119" s="9" t="s">
        <v>1717</v>
      </c>
      <c r="Q119" s="86"/>
    </row>
    <row r="120" spans="1:18" x14ac:dyDescent="0.3">
      <c r="A120" s="648"/>
      <c r="B120" s="336" t="s">
        <v>1442</v>
      </c>
      <c r="C120" s="337"/>
      <c r="D120" s="337"/>
      <c r="E120" s="663">
        <v>0</v>
      </c>
      <c r="F120" s="665"/>
      <c r="G120" s="737">
        <v>0</v>
      </c>
      <c r="H120" s="738"/>
      <c r="I120" s="739"/>
      <c r="J120" s="663">
        <v>0</v>
      </c>
      <c r="K120" s="664"/>
      <c r="L120" s="665"/>
      <c r="M120" s="663">
        <v>0</v>
      </c>
      <c r="N120" s="665"/>
      <c r="O120" s="338"/>
      <c r="P120" s="9" t="s">
        <v>1443</v>
      </c>
      <c r="R120" s="86"/>
    </row>
    <row r="121" spans="1:18" x14ac:dyDescent="0.3">
      <c r="A121" s="648"/>
      <c r="B121" s="339" t="s">
        <v>1444</v>
      </c>
      <c r="C121" s="340"/>
      <c r="D121" s="340"/>
      <c r="E121" s="743"/>
      <c r="F121" s="744"/>
      <c r="G121" s="745"/>
      <c r="H121" s="746"/>
      <c r="I121" s="747"/>
      <c r="J121" s="745"/>
      <c r="K121" s="746"/>
      <c r="L121" s="747"/>
      <c r="M121" s="745"/>
      <c r="N121" s="747"/>
      <c r="O121" s="18"/>
      <c r="P121" s="9" t="s">
        <v>1443</v>
      </c>
      <c r="R121" s="86"/>
    </row>
    <row r="122" spans="1:18" x14ac:dyDescent="0.3">
      <c r="A122" s="648"/>
      <c r="B122" s="339" t="s">
        <v>1138</v>
      </c>
      <c r="C122" s="340"/>
      <c r="D122" s="340"/>
      <c r="E122" s="663"/>
      <c r="F122" s="665"/>
      <c r="G122" s="745"/>
      <c r="H122" s="746"/>
      <c r="I122" s="747"/>
      <c r="J122" s="745"/>
      <c r="K122" s="746"/>
      <c r="L122" s="747"/>
      <c r="M122" s="745"/>
      <c r="N122" s="747"/>
      <c r="O122" s="18"/>
      <c r="P122" s="9" t="s">
        <v>1443</v>
      </c>
      <c r="R122" s="86"/>
    </row>
    <row r="123" spans="1:18" x14ac:dyDescent="0.3">
      <c r="A123" s="648"/>
      <c r="B123" s="341" t="s">
        <v>1169</v>
      </c>
      <c r="C123" s="342"/>
      <c r="D123" s="342"/>
      <c r="E123" s="675">
        <f>E120-E121-E122</f>
        <v>0</v>
      </c>
      <c r="F123" s="677"/>
      <c r="G123" s="740">
        <f>G120-G121-G122</f>
        <v>0</v>
      </c>
      <c r="H123" s="741"/>
      <c r="I123" s="742"/>
      <c r="J123" s="740">
        <f>J120-J121-J122</f>
        <v>0</v>
      </c>
      <c r="K123" s="741"/>
      <c r="L123" s="742"/>
      <c r="M123" s="740">
        <f>M120-M121-M122</f>
        <v>0</v>
      </c>
      <c r="N123" s="742"/>
      <c r="O123" s="18"/>
      <c r="P123" s="9" t="s">
        <v>1156</v>
      </c>
      <c r="R123" s="86"/>
    </row>
    <row r="124" spans="1:18" x14ac:dyDescent="0.3">
      <c r="A124" s="648"/>
      <c r="B124" s="339" t="s">
        <v>1142</v>
      </c>
      <c r="C124" s="340"/>
      <c r="D124" s="340"/>
      <c r="E124" s="675">
        <f>IFERROR(-PMT('Generieke input'!D56,E128,E123)*E128-E123,0)</f>
        <v>0</v>
      </c>
      <c r="F124" s="676"/>
      <c r="G124" s="675">
        <f>IFERROR(-PMT('Generieke input'!D56,G128,G123)*G128-G123,0)</f>
        <v>0</v>
      </c>
      <c r="H124" s="676"/>
      <c r="I124" s="677"/>
      <c r="J124" s="675">
        <f>IFERROR(-PMT('Generieke input'!D56,J128,J123)*J128-J123,0)</f>
        <v>0</v>
      </c>
      <c r="K124" s="676"/>
      <c r="L124" s="677"/>
      <c r="M124" s="675">
        <f>IFERROR(-PMT('Generieke input'!D56,M128,M123)*M128-M123,0)</f>
        <v>0</v>
      </c>
      <c r="N124" s="677"/>
      <c r="O124" s="338"/>
      <c r="P124" s="9" t="s">
        <v>1445</v>
      </c>
      <c r="R124" s="86"/>
    </row>
    <row r="125" spans="1:18" x14ac:dyDescent="0.3">
      <c r="A125" s="648"/>
      <c r="B125" s="341" t="s">
        <v>1170</v>
      </c>
      <c r="C125" s="342"/>
      <c r="D125" s="342"/>
      <c r="E125" s="675">
        <f>E123+E124</f>
        <v>0</v>
      </c>
      <c r="F125" s="677"/>
      <c r="G125" s="740">
        <f>G123+G124</f>
        <v>0</v>
      </c>
      <c r="H125" s="741"/>
      <c r="I125" s="742"/>
      <c r="J125" s="740">
        <f>J123+J124</f>
        <v>0</v>
      </c>
      <c r="K125" s="741"/>
      <c r="L125" s="742"/>
      <c r="M125" s="740">
        <f>M123+M124</f>
        <v>0</v>
      </c>
      <c r="N125" s="742"/>
      <c r="O125" s="18"/>
      <c r="P125" s="9" t="s">
        <v>1156</v>
      </c>
      <c r="R125" s="86"/>
    </row>
    <row r="126" spans="1:18" x14ac:dyDescent="0.3">
      <c r="A126" s="648"/>
      <c r="B126" s="339" t="s">
        <v>1446</v>
      </c>
      <c r="C126" s="340"/>
      <c r="D126" s="340"/>
      <c r="E126" s="663">
        <v>0</v>
      </c>
      <c r="F126" s="665"/>
      <c r="G126" s="745"/>
      <c r="H126" s="746"/>
      <c r="I126" s="747"/>
      <c r="J126" s="745"/>
      <c r="K126" s="746"/>
      <c r="L126" s="747"/>
      <c r="M126" s="745"/>
      <c r="N126" s="747"/>
      <c r="O126" s="18"/>
      <c r="P126" s="9" t="s">
        <v>1705</v>
      </c>
      <c r="R126" s="86"/>
    </row>
    <row r="127" spans="1:18" x14ac:dyDescent="0.3">
      <c r="A127" s="648"/>
      <c r="B127" s="341" t="s">
        <v>1172</v>
      </c>
      <c r="C127" s="342"/>
      <c r="D127" s="342"/>
      <c r="E127" s="675">
        <f>E125-E126</f>
        <v>0</v>
      </c>
      <c r="F127" s="677"/>
      <c r="G127" s="740">
        <f>G125-G126</f>
        <v>0</v>
      </c>
      <c r="H127" s="741"/>
      <c r="I127" s="742"/>
      <c r="J127" s="740">
        <f>J125-J126</f>
        <v>0</v>
      </c>
      <c r="K127" s="741"/>
      <c r="L127" s="742"/>
      <c r="M127" s="740">
        <f>M125-M126</f>
        <v>0</v>
      </c>
      <c r="N127" s="742"/>
      <c r="O127" s="18"/>
      <c r="P127" s="9" t="s">
        <v>1156</v>
      </c>
      <c r="R127" s="86"/>
    </row>
    <row r="128" spans="1:18" x14ac:dyDescent="0.3">
      <c r="A128" s="648"/>
      <c r="B128" s="339" t="s">
        <v>1782</v>
      </c>
      <c r="C128" s="340"/>
      <c r="D128" s="340"/>
      <c r="E128" s="714">
        <v>10</v>
      </c>
      <c r="F128" s="716"/>
      <c r="G128" s="749"/>
      <c r="H128" s="750"/>
      <c r="I128" s="736"/>
      <c r="J128" s="714">
        <v>15</v>
      </c>
      <c r="K128" s="715"/>
      <c r="L128" s="716"/>
      <c r="M128" s="714"/>
      <c r="N128" s="716"/>
      <c r="O128" s="10"/>
      <c r="P128" s="9" t="s">
        <v>1706</v>
      </c>
      <c r="R128" s="86"/>
    </row>
    <row r="129" spans="1:18" x14ac:dyDescent="0.3">
      <c r="A129" s="648"/>
      <c r="B129" s="339" t="s">
        <v>1447</v>
      </c>
      <c r="C129" s="340"/>
      <c r="D129" s="340"/>
      <c r="E129" s="684">
        <f>'Generieke input'!H36</f>
        <v>0</v>
      </c>
      <c r="F129" s="686"/>
      <c r="G129" s="754">
        <f>E129</f>
        <v>0</v>
      </c>
      <c r="H129" s="755"/>
      <c r="I129" s="756"/>
      <c r="J129" s="684">
        <f>G129</f>
        <v>0</v>
      </c>
      <c r="K129" s="685"/>
      <c r="L129" s="686"/>
      <c r="M129" s="684">
        <f>J129</f>
        <v>0</v>
      </c>
      <c r="N129" s="686"/>
      <c r="O129" s="10"/>
      <c r="P129" s="9" t="s">
        <v>1448</v>
      </c>
      <c r="R129" s="86"/>
    </row>
    <row r="130" spans="1:18" x14ac:dyDescent="0.3">
      <c r="A130" s="648"/>
      <c r="B130" s="339" t="s">
        <v>1174</v>
      </c>
      <c r="C130" s="340"/>
      <c r="D130" s="340"/>
      <c r="E130" s="754">
        <f>IF('Generieke input'!$V$36=4,250,365)</f>
        <v>365</v>
      </c>
      <c r="F130" s="755"/>
      <c r="G130" s="754">
        <f>E130</f>
        <v>365</v>
      </c>
      <c r="H130" s="755"/>
      <c r="I130" s="756"/>
      <c r="J130" s="754">
        <f>G130</f>
        <v>365</v>
      </c>
      <c r="K130" s="755"/>
      <c r="L130" s="756"/>
      <c r="M130" s="754">
        <f>J130</f>
        <v>365</v>
      </c>
      <c r="N130" s="756"/>
      <c r="P130" s="9" t="s">
        <v>1449</v>
      </c>
      <c r="R130" s="86"/>
    </row>
    <row r="131" spans="1:18" x14ac:dyDescent="0.3">
      <c r="A131" s="648"/>
      <c r="B131" s="339" t="s">
        <v>1152</v>
      </c>
      <c r="C131" s="340"/>
      <c r="D131" s="340"/>
      <c r="E131" s="863">
        <f>'Generieke input'!AA47</f>
        <v>0</v>
      </c>
      <c r="F131" s="864"/>
      <c r="G131" s="863">
        <f>E131</f>
        <v>0</v>
      </c>
      <c r="H131" s="864"/>
      <c r="I131" s="865"/>
      <c r="J131" s="863">
        <f>G131</f>
        <v>0</v>
      </c>
      <c r="K131" s="864"/>
      <c r="L131" s="865"/>
      <c r="M131" s="863">
        <f>J131</f>
        <v>0</v>
      </c>
      <c r="N131" s="865"/>
      <c r="O131" s="130"/>
      <c r="P131" s="9" t="s">
        <v>1448</v>
      </c>
      <c r="R131" s="86"/>
    </row>
    <row r="132" spans="1:18" x14ac:dyDescent="0.3">
      <c r="A132" s="648"/>
      <c r="B132" s="341" t="s">
        <v>1450</v>
      </c>
      <c r="C132" s="342"/>
      <c r="D132" s="342"/>
      <c r="E132" s="740">
        <f>IFERROR(ROUND(E127/E128/E130/E129/E131,2),0)</f>
        <v>0</v>
      </c>
      <c r="F132" s="741"/>
      <c r="G132" s="740">
        <f>IFERROR(ROUND(G127/G128/G130/G129/G131,2),0)</f>
        <v>0</v>
      </c>
      <c r="H132" s="741"/>
      <c r="I132" s="742"/>
      <c r="J132" s="740">
        <f>IFERROR(ROUND(J127/J128/J130/J129/J131,2),0)</f>
        <v>0</v>
      </c>
      <c r="K132" s="741"/>
      <c r="L132" s="742"/>
      <c r="M132" s="740">
        <f>IFERROR(ROUND(M127/M128/M130/M129/M131,2),0)</f>
        <v>0</v>
      </c>
      <c r="N132" s="742"/>
      <c r="O132" s="18"/>
      <c r="P132" s="9" t="s">
        <v>1156</v>
      </c>
      <c r="R132" s="86"/>
    </row>
    <row r="133" spans="1:18" x14ac:dyDescent="0.3">
      <c r="A133" s="648"/>
      <c r="B133" s="343" t="s">
        <v>1707</v>
      </c>
      <c r="C133" s="344"/>
      <c r="D133" s="344"/>
      <c r="E133" s="663"/>
      <c r="F133" s="665"/>
      <c r="G133" s="745"/>
      <c r="H133" s="746"/>
      <c r="I133" s="747"/>
      <c r="J133" s="745"/>
      <c r="K133" s="746"/>
      <c r="L133" s="747"/>
      <c r="M133" s="745"/>
      <c r="N133" s="747"/>
      <c r="O133" s="18"/>
      <c r="P133" s="9" t="s">
        <v>33</v>
      </c>
      <c r="R133" s="86"/>
    </row>
    <row r="134" spans="1:18" x14ac:dyDescent="0.3">
      <c r="A134" s="648"/>
      <c r="B134" s="345" t="s">
        <v>1451</v>
      </c>
      <c r="C134" s="344"/>
      <c r="D134" s="346"/>
      <c r="E134" s="675">
        <f>E132-E133</f>
        <v>0</v>
      </c>
      <c r="F134" s="677"/>
      <c r="G134" s="740">
        <f>G132-G133</f>
        <v>0</v>
      </c>
      <c r="H134" s="741"/>
      <c r="I134" s="742"/>
      <c r="J134" s="740">
        <f>J132-J133</f>
        <v>0</v>
      </c>
      <c r="K134" s="741"/>
      <c r="L134" s="742"/>
      <c r="M134" s="740">
        <f>M132-M133</f>
        <v>0</v>
      </c>
      <c r="N134" s="742"/>
      <c r="O134" s="18"/>
      <c r="P134" s="9" t="s">
        <v>1156</v>
      </c>
      <c r="R134" s="86"/>
    </row>
    <row r="135" spans="1:18" x14ac:dyDescent="0.3">
      <c r="A135" s="648"/>
      <c r="B135" s="770"/>
      <c r="C135" s="771"/>
      <c r="D135" s="771"/>
      <c r="E135" s="771"/>
      <c r="F135" s="771"/>
      <c r="G135" s="771"/>
      <c r="H135" s="771"/>
      <c r="I135" s="771"/>
      <c r="J135" s="771"/>
      <c r="K135" s="771"/>
      <c r="L135" s="771"/>
      <c r="M135" s="771"/>
      <c r="N135" s="771"/>
      <c r="O135" s="86"/>
    </row>
    <row r="136" spans="1:18" x14ac:dyDescent="0.3">
      <c r="A136" s="648"/>
      <c r="B136" s="638" t="s">
        <v>1437</v>
      </c>
      <c r="C136" s="639"/>
      <c r="D136" s="639"/>
      <c r="E136" s="639"/>
      <c r="F136" s="772"/>
      <c r="G136" s="723">
        <f>E134+G134+J134+M134</f>
        <v>0</v>
      </c>
      <c r="H136" s="724"/>
      <c r="I136" s="725"/>
      <c r="J136" s="9" t="s">
        <v>1156</v>
      </c>
      <c r="O136" s="86"/>
    </row>
    <row r="137" spans="1:18" ht="31.95" customHeight="1" x14ac:dyDescent="0.3">
      <c r="A137" s="648"/>
      <c r="B137" s="773"/>
      <c r="C137" s="774"/>
      <c r="D137" s="774"/>
      <c r="E137" s="774"/>
      <c r="F137" s="775"/>
      <c r="G137" s="946" t="s">
        <v>1779</v>
      </c>
      <c r="H137" s="947"/>
      <c r="I137" s="947"/>
      <c r="J137" s="947"/>
      <c r="K137" s="947"/>
      <c r="L137" s="947"/>
      <c r="M137" s="947"/>
      <c r="N137" s="948"/>
      <c r="O137" s="86"/>
    </row>
    <row r="138" spans="1:18" x14ac:dyDescent="0.3">
      <c r="A138" s="648"/>
      <c r="B138" s="949"/>
      <c r="C138" s="950"/>
      <c r="D138" s="950"/>
      <c r="E138" s="950"/>
      <c r="F138" s="950"/>
      <c r="G138" s="950"/>
      <c r="H138" s="950"/>
      <c r="I138" s="950"/>
      <c r="J138" s="950"/>
      <c r="K138" s="950"/>
      <c r="L138" s="950"/>
      <c r="M138" s="950"/>
      <c r="N138" s="951"/>
      <c r="O138" s="86"/>
    </row>
    <row r="139" spans="1:18" x14ac:dyDescent="0.3">
      <c r="A139" s="648"/>
      <c r="B139" s="23"/>
      <c r="C139" s="3"/>
      <c r="D139" s="3"/>
      <c r="E139" s="3"/>
      <c r="O139" s="86"/>
    </row>
    <row r="140" spans="1:18" x14ac:dyDescent="0.3">
      <c r="A140" s="648"/>
      <c r="B140" s="757" t="s">
        <v>1161</v>
      </c>
      <c r="C140" s="758"/>
      <c r="D140" s="758"/>
      <c r="E140" s="759"/>
      <c r="F140" s="952" t="s">
        <v>1452</v>
      </c>
      <c r="G140" s="953"/>
      <c r="H140" s="953"/>
      <c r="I140" s="953"/>
      <c r="J140" s="953"/>
      <c r="K140" s="953"/>
      <c r="L140" s="953"/>
      <c r="M140" s="953"/>
      <c r="N140" s="953"/>
      <c r="O140" s="953"/>
      <c r="P140" s="953"/>
      <c r="Q140" s="954"/>
    </row>
    <row r="141" spans="1:18" x14ac:dyDescent="0.3">
      <c r="A141" s="648"/>
      <c r="B141" s="23"/>
      <c r="C141" s="3"/>
      <c r="D141" s="3"/>
      <c r="E141" s="3"/>
      <c r="O141" s="86"/>
    </row>
    <row r="142" spans="1:18" x14ac:dyDescent="0.3">
      <c r="B142" s="23"/>
      <c r="C142" s="3"/>
      <c r="D142" s="3"/>
      <c r="E142" s="3"/>
    </row>
    <row r="143" spans="1:18" s="1" customFormat="1" x14ac:dyDescent="0.3">
      <c r="A143" s="319" t="s">
        <v>1453</v>
      </c>
      <c r="B143" s="936" t="s">
        <v>1454</v>
      </c>
      <c r="C143" s="936"/>
      <c r="D143" s="936"/>
      <c r="E143" s="936"/>
      <c r="F143" s="936"/>
      <c r="G143" s="936"/>
      <c r="H143" s="936"/>
      <c r="I143" s="936"/>
      <c r="J143" s="936"/>
      <c r="K143" s="936"/>
      <c r="L143" s="936"/>
      <c r="M143" s="936"/>
      <c r="N143" s="936"/>
      <c r="O143" s="937"/>
    </row>
    <row r="144" spans="1:18" x14ac:dyDescent="0.3">
      <c r="B144" s="23"/>
      <c r="C144" s="3"/>
      <c r="D144" s="3"/>
      <c r="E144" s="3"/>
    </row>
    <row r="145" spans="1:17" x14ac:dyDescent="0.3">
      <c r="B145" s="638" t="s">
        <v>1437</v>
      </c>
      <c r="C145" s="639"/>
      <c r="D145" s="639"/>
      <c r="E145" s="639"/>
      <c r="F145" s="772"/>
      <c r="G145" s="978">
        <v>0</v>
      </c>
      <c r="H145" s="979"/>
      <c r="I145" s="980"/>
      <c r="J145" s="9"/>
    </row>
    <row r="146" spans="1:17" ht="33" customHeight="1" x14ac:dyDescent="0.3">
      <c r="B146" s="638" t="s">
        <v>1159</v>
      </c>
      <c r="C146" s="639"/>
      <c r="D146" s="639"/>
      <c r="E146" s="639"/>
      <c r="F146" s="772"/>
      <c r="G146" s="955"/>
      <c r="H146" s="956"/>
      <c r="I146" s="956"/>
      <c r="J146" s="956"/>
      <c r="K146" s="957"/>
      <c r="L146" s="638"/>
      <c r="M146" s="639"/>
      <c r="N146" s="639"/>
    </row>
    <row r="147" spans="1:17" x14ac:dyDescent="0.3">
      <c r="B147" s="949"/>
      <c r="C147" s="950"/>
      <c r="D147" s="950"/>
      <c r="E147" s="950"/>
      <c r="F147" s="950"/>
      <c r="G147" s="950"/>
      <c r="H147" s="950"/>
      <c r="I147" s="950"/>
      <c r="J147" s="950"/>
      <c r="K147" s="950"/>
      <c r="L147" s="950"/>
      <c r="M147" s="950"/>
      <c r="N147" s="951"/>
    </row>
    <row r="148" spans="1:17" x14ac:dyDescent="0.3">
      <c r="B148" s="23"/>
      <c r="C148" s="132"/>
      <c r="D148" s="132"/>
      <c r="E148" s="132"/>
    </row>
    <row r="149" spans="1:17" x14ac:dyDescent="0.3">
      <c r="B149" s="757" t="s">
        <v>1438</v>
      </c>
      <c r="C149" s="758"/>
      <c r="D149" s="758"/>
      <c r="E149" s="759"/>
      <c r="F149" s="981" t="s">
        <v>1455</v>
      </c>
      <c r="G149" s="982"/>
      <c r="H149" s="982"/>
      <c r="I149" s="982"/>
      <c r="J149" s="982"/>
      <c r="K149" s="982"/>
      <c r="L149" s="982"/>
      <c r="M149" s="982"/>
      <c r="N149" s="983"/>
    </row>
    <row r="150" spans="1:17" x14ac:dyDescent="0.3">
      <c r="B150" s="23"/>
      <c r="C150" s="132"/>
      <c r="D150" s="132"/>
      <c r="E150" s="132"/>
      <c r="Q150" s="2"/>
    </row>
    <row r="152" spans="1:17" s="1" customFormat="1" x14ac:dyDescent="0.3">
      <c r="A152" s="319" t="s">
        <v>1456</v>
      </c>
      <c r="B152" s="936" t="s">
        <v>1457</v>
      </c>
      <c r="C152" s="936"/>
      <c r="D152" s="936"/>
      <c r="E152" s="936"/>
      <c r="F152" s="936"/>
      <c r="G152" s="936"/>
      <c r="H152" s="936"/>
      <c r="I152" s="936"/>
      <c r="J152" s="936"/>
      <c r="K152" s="936"/>
      <c r="L152" s="936"/>
      <c r="M152" s="936"/>
      <c r="N152" s="936"/>
      <c r="O152" s="937"/>
    </row>
    <row r="153" spans="1:17" s="1" customFormat="1" ht="15" thickBot="1" x14ac:dyDescent="0.35">
      <c r="A153" s="23"/>
      <c r="B153" s="302"/>
      <c r="C153" s="302"/>
      <c r="D153" s="302"/>
      <c r="E153" s="302"/>
      <c r="F153" s="302"/>
      <c r="G153" s="302"/>
      <c r="H153" s="302"/>
      <c r="I153" s="302"/>
      <c r="J153" s="302"/>
      <c r="K153" s="302"/>
      <c r="L153" s="302"/>
      <c r="M153" s="302"/>
      <c r="N153" s="302"/>
      <c r="O153" s="302"/>
    </row>
    <row r="154" spans="1:17" s="1" customFormat="1" x14ac:dyDescent="0.3">
      <c r="A154" s="23"/>
      <c r="B154" s="909" t="s">
        <v>1709</v>
      </c>
      <c r="C154" s="910"/>
      <c r="D154" s="910"/>
      <c r="E154" s="910"/>
      <c r="F154" s="910"/>
      <c r="G154" s="910"/>
      <c r="H154" s="910"/>
      <c r="I154" s="910"/>
      <c r="J154" s="910"/>
      <c r="K154" s="910"/>
      <c r="L154" s="910"/>
      <c r="M154" s="910"/>
      <c r="N154" s="910"/>
      <c r="O154" s="911"/>
    </row>
    <row r="155" spans="1:17" s="1" customFormat="1" x14ac:dyDescent="0.3">
      <c r="A155" s="23"/>
      <c r="B155" s="912"/>
      <c r="C155" s="913"/>
      <c r="D155" s="913"/>
      <c r="E155" s="913"/>
      <c r="F155" s="913"/>
      <c r="G155" s="913"/>
      <c r="H155" s="913"/>
      <c r="I155" s="913"/>
      <c r="J155" s="913"/>
      <c r="K155" s="913"/>
      <c r="L155" s="913"/>
      <c r="M155" s="913"/>
      <c r="N155" s="913"/>
      <c r="O155" s="914"/>
    </row>
    <row r="156" spans="1:17" s="1" customFormat="1" x14ac:dyDescent="0.3">
      <c r="A156" s="23"/>
      <c r="B156" s="912"/>
      <c r="C156" s="913"/>
      <c r="D156" s="913"/>
      <c r="E156" s="913"/>
      <c r="F156" s="913"/>
      <c r="G156" s="913"/>
      <c r="H156" s="913"/>
      <c r="I156" s="913"/>
      <c r="J156" s="913"/>
      <c r="K156" s="913"/>
      <c r="L156" s="913"/>
      <c r="M156" s="913"/>
      <c r="N156" s="913"/>
      <c r="O156" s="914"/>
    </row>
    <row r="157" spans="1:17" s="1" customFormat="1" ht="96.6" customHeight="1" thickBot="1" x14ac:dyDescent="0.35">
      <c r="A157" s="23"/>
      <c r="B157" s="915"/>
      <c r="C157" s="916"/>
      <c r="D157" s="916"/>
      <c r="E157" s="916"/>
      <c r="F157" s="916"/>
      <c r="G157" s="916"/>
      <c r="H157" s="916"/>
      <c r="I157" s="916"/>
      <c r="J157" s="916"/>
      <c r="K157" s="916"/>
      <c r="L157" s="916"/>
      <c r="M157" s="916"/>
      <c r="N157" s="916"/>
      <c r="O157" s="917"/>
    </row>
    <row r="158" spans="1:17" x14ac:dyDescent="0.3">
      <c r="B158" s="23"/>
      <c r="G158" s="347"/>
      <c r="K158" s="23"/>
    </row>
    <row r="159" spans="1:17" x14ac:dyDescent="0.3">
      <c r="B159" s="23"/>
      <c r="E159" s="3"/>
      <c r="G159" s="347"/>
      <c r="K159" s="23"/>
    </row>
    <row r="160" spans="1:17" x14ac:dyDescent="0.3">
      <c r="B160" s="649" t="s">
        <v>1597</v>
      </c>
      <c r="C160" s="650"/>
      <c r="D160" s="650"/>
      <c r="E160" s="650"/>
      <c r="F160" s="650"/>
      <c r="G160" s="650"/>
      <c r="H160" s="650"/>
      <c r="I160" s="650"/>
      <c r="J160" s="650"/>
      <c r="K160" s="650"/>
      <c r="L160" s="650"/>
      <c r="M160" s="650"/>
      <c r="N160" s="650"/>
      <c r="O160" s="650"/>
      <c r="P160" s="650"/>
      <c r="Q160" s="650"/>
    </row>
    <row r="161" spans="2:17" ht="15" thickBot="1" x14ac:dyDescent="0.35"/>
    <row r="162" spans="2:17" ht="15" customHeight="1" x14ac:dyDescent="0.3">
      <c r="B162" s="938" t="s">
        <v>1599</v>
      </c>
      <c r="C162" s="939"/>
      <c r="D162" s="939"/>
      <c r="E162" s="939"/>
      <c r="F162" s="939"/>
      <c r="G162" s="939"/>
      <c r="H162" s="939"/>
      <c r="I162" s="939"/>
      <c r="J162" s="939"/>
      <c r="K162" s="939"/>
      <c r="L162" s="939"/>
      <c r="M162" s="939"/>
      <c r="N162" s="939"/>
      <c r="O162" s="939"/>
      <c r="P162" s="939"/>
      <c r="Q162" s="940"/>
    </row>
    <row r="163" spans="2:17" x14ac:dyDescent="0.3">
      <c r="B163" s="941"/>
      <c r="C163" s="787"/>
      <c r="D163" s="787"/>
      <c r="E163" s="787"/>
      <c r="F163" s="787"/>
      <c r="G163" s="787"/>
      <c r="H163" s="787"/>
      <c r="I163" s="787"/>
      <c r="J163" s="787"/>
      <c r="K163" s="787"/>
      <c r="L163" s="787"/>
      <c r="M163" s="787"/>
      <c r="N163" s="787"/>
      <c r="O163" s="787"/>
      <c r="P163" s="787"/>
      <c r="Q163" s="942"/>
    </row>
    <row r="164" spans="2:17" x14ac:dyDescent="0.3">
      <c r="B164" s="941"/>
      <c r="C164" s="787"/>
      <c r="D164" s="787"/>
      <c r="E164" s="787"/>
      <c r="F164" s="787"/>
      <c r="G164" s="787"/>
      <c r="H164" s="787"/>
      <c r="I164" s="787"/>
      <c r="J164" s="787"/>
      <c r="K164" s="787"/>
      <c r="L164" s="787"/>
      <c r="M164" s="787"/>
      <c r="N164" s="787"/>
      <c r="O164" s="787"/>
      <c r="P164" s="787"/>
      <c r="Q164" s="942"/>
    </row>
    <row r="165" spans="2:17" ht="15" thickBot="1" x14ac:dyDescent="0.35">
      <c r="B165" s="943"/>
      <c r="C165" s="944"/>
      <c r="D165" s="944"/>
      <c r="E165" s="944"/>
      <c r="F165" s="944"/>
      <c r="G165" s="944"/>
      <c r="H165" s="944"/>
      <c r="I165" s="944"/>
      <c r="J165" s="944"/>
      <c r="K165" s="944"/>
      <c r="L165" s="944"/>
      <c r="M165" s="944"/>
      <c r="N165" s="944"/>
      <c r="O165" s="944"/>
      <c r="P165" s="944"/>
      <c r="Q165" s="945"/>
    </row>
    <row r="166" spans="2:17" ht="15" thickBot="1" x14ac:dyDescent="0.35">
      <c r="B166" s="2" t="s">
        <v>33</v>
      </c>
      <c r="C166" s="2"/>
      <c r="D166" s="2"/>
      <c r="E166" s="2" t="s">
        <v>33</v>
      </c>
      <c r="F166" s="2" t="s">
        <v>33</v>
      </c>
    </row>
    <row r="167" spans="2:17" ht="15" customHeight="1" x14ac:dyDescent="0.3">
      <c r="B167" s="793" t="s">
        <v>1246</v>
      </c>
      <c r="C167" s="794"/>
      <c r="D167" s="795"/>
      <c r="E167" s="617" t="s">
        <v>1353</v>
      </c>
      <c r="F167" s="617" t="s">
        <v>1600</v>
      </c>
      <c r="G167" s="802"/>
      <c r="H167" s="710"/>
      <c r="I167" s="710"/>
      <c r="J167" s="710"/>
      <c r="K167" s="44"/>
    </row>
    <row r="168" spans="2:17" ht="48" customHeight="1" thickBot="1" x14ac:dyDescent="0.35">
      <c r="B168" s="796"/>
      <c r="C168" s="797"/>
      <c r="D168" s="798"/>
      <c r="E168" s="799"/>
      <c r="F168" s="618"/>
      <c r="G168" s="74"/>
      <c r="H168" s="79"/>
      <c r="I168" s="79"/>
      <c r="J168" s="79"/>
      <c r="K168" s="44"/>
    </row>
    <row r="169" spans="2:17" x14ac:dyDescent="0.3">
      <c r="B169" s="805"/>
      <c r="C169" s="805"/>
      <c r="D169" s="805"/>
      <c r="E169" s="250"/>
      <c r="F169" s="264">
        <v>0</v>
      </c>
      <c r="G169" s="679" t="s">
        <v>1249</v>
      </c>
      <c r="H169" s="808"/>
      <c r="I169" s="808"/>
      <c r="J169" s="79"/>
      <c r="K169" s="44"/>
      <c r="L169" s="2" t="s">
        <v>1458</v>
      </c>
    </row>
    <row r="170" spans="2:17" x14ac:dyDescent="0.3">
      <c r="B170" s="805"/>
      <c r="C170" s="805"/>
      <c r="D170" s="805"/>
      <c r="E170" s="250"/>
      <c r="F170" s="264">
        <v>0</v>
      </c>
      <c r="G170" s="802" t="str">
        <f>IF(E188&lt;&gt;'Generieke input'!H36,"De totale capaciteit voor de vermelde dagprijzen stemt niet overeen met de capaciteit in het tabblad 'Generieke input', cel H36","")</f>
        <v/>
      </c>
      <c r="H170" s="812"/>
      <c r="I170" s="812"/>
      <c r="J170" s="812"/>
      <c r="K170" s="812"/>
      <c r="L170" s="812"/>
      <c r="M170" s="99"/>
      <c r="N170" s="99"/>
      <c r="O170" s="99"/>
    </row>
    <row r="171" spans="2:17" x14ac:dyDescent="0.3">
      <c r="B171" s="805"/>
      <c r="C171" s="805"/>
      <c r="D171" s="805"/>
      <c r="E171" s="250"/>
      <c r="F171" s="264">
        <v>0</v>
      </c>
      <c r="G171" s="813" t="str">
        <f>IFERROR(IF(F188&gt;F236, "De gemiddelde prijs  ligt hoger dan de maximale gemiddelde prijs van " &amp; F236&amp;" euro zoals berekend onder 5.3. Pas de prijs van 1 of meerdere kamertypes aan.",""),"")</f>
        <v/>
      </c>
      <c r="H171" s="813"/>
      <c r="I171" s="813"/>
      <c r="J171" s="813"/>
      <c r="K171" s="813"/>
    </row>
    <row r="172" spans="2:17" x14ac:dyDescent="0.3">
      <c r="B172" s="805"/>
      <c r="C172" s="805"/>
      <c r="D172" s="805"/>
      <c r="E172" s="250"/>
      <c r="F172" s="264">
        <v>0</v>
      </c>
      <c r="G172" s="803"/>
      <c r="H172" s="803"/>
      <c r="I172" s="803"/>
      <c r="J172" s="803"/>
      <c r="K172" s="803"/>
    </row>
    <row r="173" spans="2:17" x14ac:dyDescent="0.3">
      <c r="B173" s="805"/>
      <c r="C173" s="805"/>
      <c r="D173" s="805"/>
      <c r="E173" s="250"/>
      <c r="F173" s="264">
        <v>0</v>
      </c>
      <c r="G173" s="792"/>
      <c r="H173" s="792"/>
      <c r="I173" s="792"/>
      <c r="J173" s="792"/>
      <c r="K173" s="792"/>
    </row>
    <row r="174" spans="2:17" x14ac:dyDescent="0.3">
      <c r="B174" s="805"/>
      <c r="C174" s="805"/>
      <c r="D174" s="805"/>
      <c r="E174" s="250"/>
      <c r="F174" s="264">
        <v>0</v>
      </c>
    </row>
    <row r="175" spans="2:17" x14ac:dyDescent="0.3">
      <c r="B175" s="805"/>
      <c r="C175" s="805"/>
      <c r="D175" s="805"/>
      <c r="E175" s="250"/>
      <c r="F175" s="264">
        <v>0</v>
      </c>
      <c r="G175" s="786"/>
      <c r="H175" s="786"/>
      <c r="I175" s="786"/>
      <c r="J175" s="786"/>
      <c r="K175" s="786"/>
      <c r="L175" s="786"/>
      <c r="M175" s="68"/>
      <c r="N175" s="68"/>
      <c r="O175" s="68"/>
    </row>
    <row r="176" spans="2:17" x14ac:dyDescent="0.3">
      <c r="B176" s="805"/>
      <c r="C176" s="805"/>
      <c r="D176" s="805"/>
      <c r="E176" s="250"/>
      <c r="F176" s="264">
        <v>0</v>
      </c>
      <c r="G176" s="786"/>
      <c r="H176" s="786"/>
      <c r="I176" s="786"/>
      <c r="J176" s="786"/>
      <c r="K176" s="786"/>
      <c r="L176" s="786"/>
      <c r="M176" s="68"/>
      <c r="N176" s="68"/>
      <c r="O176" s="68"/>
    </row>
    <row r="177" spans="2:17" x14ac:dyDescent="0.3">
      <c r="B177" s="804"/>
      <c r="C177" s="805"/>
      <c r="D177" s="805"/>
      <c r="E177" s="250"/>
      <c r="F177" s="264">
        <v>0</v>
      </c>
      <c r="G177" s="43"/>
      <c r="H177" s="43"/>
      <c r="I177" s="43"/>
      <c r="J177" s="43"/>
      <c r="K177" s="43"/>
      <c r="L177" s="43"/>
      <c r="M177" s="43"/>
      <c r="N177" s="43"/>
      <c r="O177" s="43"/>
    </row>
    <row r="178" spans="2:17" x14ac:dyDescent="0.3">
      <c r="B178" s="804"/>
      <c r="C178" s="805"/>
      <c r="D178" s="805"/>
      <c r="E178" s="250"/>
      <c r="F178" s="264">
        <v>0</v>
      </c>
      <c r="G178" s="786"/>
      <c r="H178" s="816"/>
      <c r="I178" s="816"/>
      <c r="J178" s="43"/>
      <c r="K178" s="43"/>
      <c r="L178" s="43"/>
      <c r="M178" s="43"/>
      <c r="N178" s="43"/>
      <c r="O178" s="43"/>
    </row>
    <row r="179" spans="2:17" x14ac:dyDescent="0.3">
      <c r="B179" s="804"/>
      <c r="C179" s="805"/>
      <c r="D179" s="805"/>
      <c r="E179" s="250"/>
      <c r="F179" s="264">
        <v>0</v>
      </c>
      <c r="G179" s="816"/>
      <c r="H179" s="816"/>
      <c r="I179" s="816"/>
    </row>
    <row r="180" spans="2:17" x14ac:dyDescent="0.3">
      <c r="B180" s="804"/>
      <c r="C180" s="805"/>
      <c r="D180" s="805"/>
      <c r="E180" s="250"/>
      <c r="F180" s="264">
        <v>0</v>
      </c>
      <c r="G180" s="816"/>
      <c r="H180" s="816"/>
      <c r="I180" s="816"/>
    </row>
    <row r="181" spans="2:17" x14ac:dyDescent="0.3">
      <c r="B181" s="804"/>
      <c r="C181" s="805"/>
      <c r="D181" s="805"/>
      <c r="E181" s="250"/>
      <c r="F181" s="264">
        <v>0</v>
      </c>
    </row>
    <row r="182" spans="2:17" x14ac:dyDescent="0.3">
      <c r="B182" s="804"/>
      <c r="C182" s="805"/>
      <c r="D182" s="805"/>
      <c r="E182" s="250"/>
      <c r="F182" s="264">
        <v>0</v>
      </c>
    </row>
    <row r="183" spans="2:17" x14ac:dyDescent="0.3">
      <c r="B183" s="804"/>
      <c r="C183" s="805"/>
      <c r="D183" s="805"/>
      <c r="E183" s="250"/>
      <c r="F183" s="264">
        <v>0</v>
      </c>
    </row>
    <row r="184" spans="2:17" x14ac:dyDescent="0.3">
      <c r="B184" s="804"/>
      <c r="C184" s="805"/>
      <c r="D184" s="805"/>
      <c r="E184" s="250"/>
      <c r="F184" s="264">
        <v>0</v>
      </c>
    </row>
    <row r="185" spans="2:17" x14ac:dyDescent="0.3">
      <c r="B185" s="804"/>
      <c r="C185" s="805"/>
      <c r="D185" s="805"/>
      <c r="E185" s="250"/>
      <c r="F185" s="264">
        <v>0</v>
      </c>
    </row>
    <row r="186" spans="2:17" x14ac:dyDescent="0.3">
      <c r="B186" s="804"/>
      <c r="C186" s="805"/>
      <c r="D186" s="805"/>
      <c r="E186" s="250"/>
      <c r="F186" s="264">
        <v>0</v>
      </c>
    </row>
    <row r="187" spans="2:17" ht="15" thickBot="1" x14ac:dyDescent="0.35">
      <c r="B187" s="814"/>
      <c r="C187" s="815"/>
      <c r="D187" s="815"/>
      <c r="E187" s="252"/>
      <c r="F187" s="296">
        <v>0</v>
      </c>
    </row>
    <row r="188" spans="2:17" ht="15" thickBot="1" x14ac:dyDescent="0.35">
      <c r="B188" s="817" t="s">
        <v>1251</v>
      </c>
      <c r="C188" s="818"/>
      <c r="D188" s="819"/>
      <c r="E188" s="190">
        <f>SUM(E169:E187)</f>
        <v>0</v>
      </c>
      <c r="F188" s="97">
        <f t="array" ref="F188">SUM(E169:E187*F169:F187)/IF(E188&gt;0,E188,1)</f>
        <v>0</v>
      </c>
      <c r="G188" s="2" t="e">
        <f>" Ter info: dit gewogen gemiddelde wordt vergeleken met de goedgekeurde maximale gemiddelde dagprijs van " &amp;F236&amp; " euro."</f>
        <v>#DIV/0!</v>
      </c>
    </row>
    <row r="189" spans="2:17" x14ac:dyDescent="0.3">
      <c r="B189" s="42"/>
      <c r="C189" s="42"/>
      <c r="D189" s="42"/>
      <c r="F189" s="44"/>
    </row>
    <row r="190" spans="2:17" ht="17.25" customHeight="1" x14ac:dyDescent="0.3">
      <c r="B190" s="649" t="s">
        <v>1598</v>
      </c>
      <c r="C190" s="650"/>
      <c r="D190" s="650"/>
      <c r="E190" s="650"/>
      <c r="F190" s="650"/>
      <c r="G190" s="650"/>
      <c r="H190" s="650"/>
      <c r="I190" s="650"/>
      <c r="J190" s="650"/>
      <c r="K190" s="650"/>
      <c r="L190" s="650"/>
      <c r="M190" s="650"/>
      <c r="N190" s="650"/>
      <c r="O190" s="650"/>
      <c r="P190" s="650"/>
      <c r="Q190" s="820"/>
    </row>
    <row r="191" spans="2:17" ht="17.25" customHeight="1" thickBot="1" x14ac:dyDescent="0.35"/>
    <row r="192" spans="2:17" ht="17.25" customHeight="1" x14ac:dyDescent="0.3">
      <c r="B192" s="938" t="s">
        <v>1710</v>
      </c>
      <c r="C192" s="939"/>
      <c r="D192" s="939"/>
      <c r="E192" s="939"/>
      <c r="F192" s="939"/>
      <c r="G192" s="939"/>
      <c r="H192" s="939"/>
      <c r="I192" s="939"/>
      <c r="J192" s="939"/>
      <c r="K192" s="939"/>
      <c r="L192" s="939"/>
      <c r="M192" s="939"/>
      <c r="N192" s="939"/>
      <c r="O192" s="939"/>
      <c r="P192" s="939"/>
      <c r="Q192" s="940"/>
    </row>
    <row r="193" spans="2:19" ht="17.25" customHeight="1" x14ac:dyDescent="0.3">
      <c r="B193" s="941"/>
      <c r="C193" s="787"/>
      <c r="D193" s="787"/>
      <c r="E193" s="787"/>
      <c r="F193" s="787"/>
      <c r="G193" s="787"/>
      <c r="H193" s="787"/>
      <c r="I193" s="787"/>
      <c r="J193" s="787"/>
      <c r="K193" s="787"/>
      <c r="L193" s="787"/>
      <c r="M193" s="787"/>
      <c r="N193" s="787"/>
      <c r="O193" s="787"/>
      <c r="P193" s="787"/>
      <c r="Q193" s="942"/>
    </row>
    <row r="194" spans="2:19" ht="17.25" customHeight="1" x14ac:dyDescent="0.3">
      <c r="B194" s="941"/>
      <c r="C194" s="787"/>
      <c r="D194" s="787"/>
      <c r="E194" s="787"/>
      <c r="F194" s="787"/>
      <c r="G194" s="787"/>
      <c r="H194" s="787"/>
      <c r="I194" s="787"/>
      <c r="J194" s="787"/>
      <c r="K194" s="787"/>
      <c r="L194" s="787"/>
      <c r="M194" s="787"/>
      <c r="N194" s="787"/>
      <c r="O194" s="787"/>
      <c r="P194" s="787"/>
      <c r="Q194" s="942"/>
    </row>
    <row r="195" spans="2:19" ht="56.1" customHeight="1" thickBot="1" x14ac:dyDescent="0.35">
      <c r="B195" s="943"/>
      <c r="C195" s="944"/>
      <c r="D195" s="944"/>
      <c r="E195" s="944"/>
      <c r="F195" s="944"/>
      <c r="G195" s="944"/>
      <c r="H195" s="944"/>
      <c r="I195" s="944"/>
      <c r="J195" s="944"/>
      <c r="K195" s="944"/>
      <c r="L195" s="944"/>
      <c r="M195" s="944"/>
      <c r="N195" s="944"/>
      <c r="O195" s="944"/>
      <c r="P195" s="944"/>
      <c r="Q195" s="945"/>
    </row>
    <row r="196" spans="2:19" ht="17.25" customHeight="1" x14ac:dyDescent="0.3">
      <c r="B196" s="76"/>
      <c r="C196" s="76"/>
      <c r="D196" s="76"/>
      <c r="E196" s="76"/>
      <c r="F196" s="76"/>
      <c r="G196" s="76"/>
      <c r="H196" s="76"/>
      <c r="I196" s="76"/>
      <c r="J196" s="76"/>
      <c r="K196" s="76"/>
      <c r="L196" s="76"/>
      <c r="M196" s="76"/>
      <c r="N196" s="76"/>
      <c r="O196" s="76"/>
      <c r="P196" s="76"/>
      <c r="Q196" s="76"/>
    </row>
    <row r="197" spans="2:19" ht="13.65" customHeight="1" thickBot="1" x14ac:dyDescent="0.35">
      <c r="E197" s="185" t="s">
        <v>33</v>
      </c>
      <c r="F197" s="185" t="s">
        <v>33</v>
      </c>
      <c r="G197" s="185" t="s">
        <v>33</v>
      </c>
      <c r="H197" s="185" t="s">
        <v>1156</v>
      </c>
      <c r="I197" s="185" t="s">
        <v>1156</v>
      </c>
      <c r="J197" s="185" t="s">
        <v>1156</v>
      </c>
    </row>
    <row r="198" spans="2:19" ht="13.65" customHeight="1" x14ac:dyDescent="0.3">
      <c r="B198" s="793" t="s">
        <v>1253</v>
      </c>
      <c r="C198" s="794"/>
      <c r="D198" s="795"/>
      <c r="E198" s="617" t="s">
        <v>1353</v>
      </c>
      <c r="F198" s="617" t="s">
        <v>1752</v>
      </c>
      <c r="G198" s="617" t="s">
        <v>1771</v>
      </c>
      <c r="H198" s="617" t="s">
        <v>1753</v>
      </c>
      <c r="I198" s="617" t="s">
        <v>1754</v>
      </c>
      <c r="J198" s="617" t="s">
        <v>1755</v>
      </c>
    </row>
    <row r="199" spans="2:19" ht="74.25" customHeight="1" thickBot="1" x14ac:dyDescent="0.35">
      <c r="B199" s="821"/>
      <c r="C199" s="822"/>
      <c r="D199" s="823"/>
      <c r="E199" s="618"/>
      <c r="F199" s="618"/>
      <c r="G199" s="618"/>
      <c r="H199" s="977"/>
      <c r="I199" s="977"/>
      <c r="J199" s="977"/>
      <c r="K199" s="18"/>
      <c r="S199" s="2" t="s">
        <v>1459</v>
      </c>
    </row>
    <row r="200" spans="2:19" x14ac:dyDescent="0.3">
      <c r="B200" s="869"/>
      <c r="C200" s="870"/>
      <c r="D200" s="871"/>
      <c r="E200" s="289"/>
      <c r="F200" s="268">
        <v>0</v>
      </c>
      <c r="G200" s="268">
        <v>0</v>
      </c>
      <c r="H200" s="348">
        <f>MIN(G200,IFERROR(ROUND(F200*(1+$E$238),2),0))</f>
        <v>0</v>
      </c>
      <c r="I200" s="348">
        <f>MIN(G200,IFERROR(ROUND($F200*(1+E$245),2),0))</f>
        <v>0</v>
      </c>
      <c r="J200" s="207">
        <f>H200</f>
        <v>0</v>
      </c>
      <c r="K200" s="792" t="s">
        <v>1249</v>
      </c>
      <c r="L200" s="792"/>
      <c r="M200" s="792"/>
      <c r="N200" s="792"/>
      <c r="O200" s="792"/>
      <c r="P200" s="792"/>
    </row>
    <row r="201" spans="2:19" x14ac:dyDescent="0.3">
      <c r="B201" s="809"/>
      <c r="C201" s="810"/>
      <c r="D201" s="811"/>
      <c r="E201" s="290"/>
      <c r="F201" s="268">
        <v>0</v>
      </c>
      <c r="G201" s="268">
        <v>0</v>
      </c>
      <c r="H201" s="348">
        <f t="shared" ref="H201:H218" si="2">MIN(G201,IFERROR(ROUND(F201*(1+$E$238),2),0))</f>
        <v>0</v>
      </c>
      <c r="I201" s="348">
        <f t="shared" ref="I201:I218" si="3">MIN(G201,IFERROR(ROUND($F201*(1+E$245),2),0))</f>
        <v>0</v>
      </c>
      <c r="J201" s="207">
        <f t="shared" ref="J201:J218" si="4">H201</f>
        <v>0</v>
      </c>
      <c r="K201" s="2" t="str">
        <f>IF(E219&gt;F91,"De capaciteit van de bestaande bewoners kan niet hoger zijn dan de capaciteit voor de prijsaanvraag","")</f>
        <v/>
      </c>
    </row>
    <row r="202" spans="2:19" x14ac:dyDescent="0.3">
      <c r="B202" s="809"/>
      <c r="C202" s="810"/>
      <c r="D202" s="811"/>
      <c r="E202" s="290"/>
      <c r="F202" s="268">
        <v>0</v>
      </c>
      <c r="G202" s="268">
        <v>0</v>
      </c>
      <c r="H202" s="348">
        <f t="shared" si="2"/>
        <v>0</v>
      </c>
      <c r="I202" s="348">
        <f t="shared" si="3"/>
        <v>0</v>
      </c>
      <c r="J202" s="207">
        <f t="shared" si="4"/>
        <v>0</v>
      </c>
      <c r="K202" s="2"/>
    </row>
    <row r="203" spans="2:19" x14ac:dyDescent="0.3">
      <c r="B203" s="809"/>
      <c r="C203" s="810"/>
      <c r="D203" s="811"/>
      <c r="E203" s="290"/>
      <c r="F203" s="268">
        <v>0</v>
      </c>
      <c r="G203" s="268">
        <v>0</v>
      </c>
      <c r="H203" s="348">
        <f t="shared" si="2"/>
        <v>0</v>
      </c>
      <c r="I203" s="348">
        <f t="shared" si="3"/>
        <v>0</v>
      </c>
      <c r="J203" s="207">
        <f t="shared" si="4"/>
        <v>0</v>
      </c>
    </row>
    <row r="204" spans="2:19" x14ac:dyDescent="0.3">
      <c r="B204" s="809"/>
      <c r="C204" s="810"/>
      <c r="D204" s="811"/>
      <c r="E204" s="290"/>
      <c r="F204" s="268">
        <v>0</v>
      </c>
      <c r="G204" s="268">
        <v>0</v>
      </c>
      <c r="H204" s="348">
        <f t="shared" si="2"/>
        <v>0</v>
      </c>
      <c r="I204" s="348">
        <f t="shared" si="3"/>
        <v>0</v>
      </c>
      <c r="J204" s="207">
        <f t="shared" si="4"/>
        <v>0</v>
      </c>
      <c r="K204" s="792"/>
      <c r="L204" s="792"/>
      <c r="M204" s="792"/>
      <c r="N204" s="792"/>
      <c r="O204" s="792"/>
      <c r="P204" s="792"/>
    </row>
    <row r="205" spans="2:19" x14ac:dyDescent="0.3">
      <c r="B205" s="809"/>
      <c r="C205" s="810"/>
      <c r="D205" s="811"/>
      <c r="E205" s="290"/>
      <c r="F205" s="268">
        <v>0</v>
      </c>
      <c r="G205" s="268">
        <v>0</v>
      </c>
      <c r="H205" s="348">
        <f t="shared" si="2"/>
        <v>0</v>
      </c>
      <c r="I205" s="348">
        <f t="shared" si="3"/>
        <v>0</v>
      </c>
      <c r="J205" s="207">
        <f t="shared" si="4"/>
        <v>0</v>
      </c>
    </row>
    <row r="206" spans="2:19" x14ac:dyDescent="0.3">
      <c r="B206" s="809"/>
      <c r="C206" s="810"/>
      <c r="D206" s="811"/>
      <c r="E206" s="290"/>
      <c r="F206" s="268">
        <v>0</v>
      </c>
      <c r="G206" s="268">
        <v>0</v>
      </c>
      <c r="H206" s="348">
        <f t="shared" si="2"/>
        <v>0</v>
      </c>
      <c r="I206" s="348">
        <f t="shared" si="3"/>
        <v>0</v>
      </c>
      <c r="J206" s="207">
        <f t="shared" si="4"/>
        <v>0</v>
      </c>
      <c r="K206" s="786"/>
      <c r="L206" s="786"/>
      <c r="M206" s="786"/>
      <c r="N206" s="786"/>
      <c r="O206" s="786"/>
      <c r="P206" s="786"/>
      <c r="Q206" s="786"/>
    </row>
    <row r="207" spans="2:19" x14ac:dyDescent="0.3">
      <c r="B207" s="809"/>
      <c r="C207" s="810"/>
      <c r="D207" s="811"/>
      <c r="E207" s="290"/>
      <c r="F207" s="268">
        <v>0</v>
      </c>
      <c r="G207" s="268">
        <v>0</v>
      </c>
      <c r="H207" s="348">
        <f t="shared" si="2"/>
        <v>0</v>
      </c>
      <c r="I207" s="348">
        <f t="shared" si="3"/>
        <v>0</v>
      </c>
      <c r="J207" s="207">
        <f t="shared" si="4"/>
        <v>0</v>
      </c>
      <c r="K207" s="786"/>
      <c r="L207" s="786"/>
      <c r="M207" s="786"/>
      <c r="N207" s="786"/>
      <c r="O207" s="786"/>
      <c r="P207" s="786"/>
      <c r="Q207" s="786"/>
    </row>
    <row r="208" spans="2:19" x14ac:dyDescent="0.3">
      <c r="B208" s="809"/>
      <c r="C208" s="810"/>
      <c r="D208" s="811"/>
      <c r="E208" s="290"/>
      <c r="F208" s="268">
        <v>0</v>
      </c>
      <c r="G208" s="268">
        <v>0</v>
      </c>
      <c r="H208" s="348">
        <f t="shared" si="2"/>
        <v>0</v>
      </c>
      <c r="I208" s="348">
        <f t="shared" si="3"/>
        <v>0</v>
      </c>
      <c r="J208" s="207">
        <f t="shared" si="4"/>
        <v>0</v>
      </c>
      <c r="K208" s="43"/>
      <c r="L208" s="43"/>
      <c r="M208" s="43"/>
      <c r="N208" s="43"/>
    </row>
    <row r="209" spans="2:15" x14ac:dyDescent="0.3">
      <c r="B209" s="809"/>
      <c r="C209" s="810"/>
      <c r="D209" s="811"/>
      <c r="E209" s="290"/>
      <c r="F209" s="268">
        <v>0</v>
      </c>
      <c r="G209" s="268">
        <v>0</v>
      </c>
      <c r="H209" s="348">
        <f t="shared" si="2"/>
        <v>0</v>
      </c>
      <c r="I209" s="348">
        <f t="shared" si="3"/>
        <v>0</v>
      </c>
      <c r="J209" s="207">
        <f t="shared" si="4"/>
        <v>0</v>
      </c>
      <c r="K209" s="786"/>
      <c r="L209" s="816"/>
      <c r="M209" s="816"/>
      <c r="N209" s="816"/>
    </row>
    <row r="210" spans="2:15" x14ac:dyDescent="0.3">
      <c r="B210" s="809"/>
      <c r="C210" s="810"/>
      <c r="D210" s="811"/>
      <c r="E210" s="290"/>
      <c r="F210" s="268">
        <v>0</v>
      </c>
      <c r="G210" s="268">
        <v>0</v>
      </c>
      <c r="H210" s="348">
        <f t="shared" si="2"/>
        <v>0</v>
      </c>
      <c r="I210" s="348">
        <f t="shared" si="3"/>
        <v>0</v>
      </c>
      <c r="J210" s="207">
        <f t="shared" si="4"/>
        <v>0</v>
      </c>
      <c r="K210" s="816"/>
      <c r="L210" s="816"/>
      <c r="M210" s="816"/>
      <c r="N210" s="816"/>
    </row>
    <row r="211" spans="2:15" x14ac:dyDescent="0.3">
      <c r="B211" s="809"/>
      <c r="C211" s="810"/>
      <c r="D211" s="811"/>
      <c r="E211" s="290"/>
      <c r="F211" s="268">
        <v>0</v>
      </c>
      <c r="G211" s="268">
        <v>0</v>
      </c>
      <c r="H211" s="348">
        <f t="shared" si="2"/>
        <v>0</v>
      </c>
      <c r="I211" s="348">
        <f t="shared" si="3"/>
        <v>0</v>
      </c>
      <c r="J211" s="207">
        <f t="shared" si="4"/>
        <v>0</v>
      </c>
      <c r="K211" s="816"/>
      <c r="L211" s="816"/>
      <c r="M211" s="816"/>
      <c r="N211" s="816"/>
    </row>
    <row r="212" spans="2:15" x14ac:dyDescent="0.3">
      <c r="B212" s="809"/>
      <c r="C212" s="810"/>
      <c r="D212" s="811"/>
      <c r="E212" s="290"/>
      <c r="F212" s="268">
        <v>0</v>
      </c>
      <c r="G212" s="268">
        <v>0</v>
      </c>
      <c r="H212" s="348">
        <f t="shared" si="2"/>
        <v>0</v>
      </c>
      <c r="I212" s="348">
        <f t="shared" si="3"/>
        <v>0</v>
      </c>
      <c r="J212" s="207">
        <f t="shared" si="4"/>
        <v>0</v>
      </c>
    </row>
    <row r="213" spans="2:15" x14ac:dyDescent="0.3">
      <c r="B213" s="809"/>
      <c r="C213" s="810"/>
      <c r="D213" s="811"/>
      <c r="E213" s="290"/>
      <c r="F213" s="268">
        <v>0</v>
      </c>
      <c r="G213" s="268">
        <v>0</v>
      </c>
      <c r="H213" s="348">
        <f t="shared" si="2"/>
        <v>0</v>
      </c>
      <c r="I213" s="348">
        <f t="shared" si="3"/>
        <v>0</v>
      </c>
      <c r="J213" s="207">
        <f t="shared" si="4"/>
        <v>0</v>
      </c>
      <c r="K213" s="9"/>
    </row>
    <row r="214" spans="2:15" x14ac:dyDescent="0.3">
      <c r="B214" s="809"/>
      <c r="C214" s="810"/>
      <c r="D214" s="811"/>
      <c r="E214" s="290"/>
      <c r="F214" s="268">
        <v>0</v>
      </c>
      <c r="G214" s="268">
        <v>0</v>
      </c>
      <c r="H214" s="348">
        <f t="shared" si="2"/>
        <v>0</v>
      </c>
      <c r="I214" s="348">
        <f t="shared" si="3"/>
        <v>0</v>
      </c>
      <c r="J214" s="207">
        <f t="shared" si="4"/>
        <v>0</v>
      </c>
      <c r="K214" s="98"/>
    </row>
    <row r="215" spans="2:15" x14ac:dyDescent="0.3">
      <c r="B215" s="809"/>
      <c r="C215" s="810"/>
      <c r="D215" s="811"/>
      <c r="E215" s="290"/>
      <c r="F215" s="268">
        <v>0</v>
      </c>
      <c r="G215" s="268">
        <v>0</v>
      </c>
      <c r="H215" s="348">
        <f t="shared" si="2"/>
        <v>0</v>
      </c>
      <c r="I215" s="348">
        <f t="shared" si="3"/>
        <v>0</v>
      </c>
      <c r="J215" s="207">
        <f t="shared" si="4"/>
        <v>0</v>
      </c>
      <c r="K215" s="98"/>
    </row>
    <row r="216" spans="2:15" x14ac:dyDescent="0.3">
      <c r="B216" s="809"/>
      <c r="C216" s="810"/>
      <c r="D216" s="811"/>
      <c r="E216" s="290"/>
      <c r="F216" s="268">
        <v>0</v>
      </c>
      <c r="G216" s="268">
        <v>0</v>
      </c>
      <c r="H216" s="348">
        <f t="shared" si="2"/>
        <v>0</v>
      </c>
      <c r="I216" s="348">
        <f t="shared" si="3"/>
        <v>0</v>
      </c>
      <c r="J216" s="207">
        <f t="shared" si="4"/>
        <v>0</v>
      </c>
    </row>
    <row r="217" spans="2:15" x14ac:dyDescent="0.3">
      <c r="B217" s="809"/>
      <c r="C217" s="810"/>
      <c r="D217" s="811"/>
      <c r="E217" s="290"/>
      <c r="F217" s="268">
        <v>0</v>
      </c>
      <c r="G217" s="268">
        <v>0</v>
      </c>
      <c r="H217" s="348">
        <f t="shared" si="2"/>
        <v>0</v>
      </c>
      <c r="I217" s="348">
        <f t="shared" si="3"/>
        <v>0</v>
      </c>
      <c r="J217" s="207">
        <f t="shared" si="4"/>
        <v>0</v>
      </c>
      <c r="K217" s="9"/>
    </row>
    <row r="218" spans="2:15" ht="15" thickBot="1" x14ac:dyDescent="0.35">
      <c r="B218" s="958"/>
      <c r="C218" s="959"/>
      <c r="D218" s="960"/>
      <c r="E218" s="297"/>
      <c r="F218" s="268">
        <v>0</v>
      </c>
      <c r="G218" s="270">
        <v>0</v>
      </c>
      <c r="H218" s="348">
        <f t="shared" si="2"/>
        <v>0</v>
      </c>
      <c r="I218" s="348">
        <f t="shared" si="3"/>
        <v>0</v>
      </c>
      <c r="J218" s="207">
        <f t="shared" si="4"/>
        <v>0</v>
      </c>
      <c r="K218" s="9"/>
    </row>
    <row r="219" spans="2:15" ht="15" thickBot="1" x14ac:dyDescent="0.35">
      <c r="B219" s="839" t="s">
        <v>1251</v>
      </c>
      <c r="C219" s="840"/>
      <c r="D219" s="841"/>
      <c r="E219" s="349">
        <f>SUM(E200:E218)</f>
        <v>0</v>
      </c>
      <c r="F219" s="350">
        <f>IFERROR(SUMPRODUCT(F200:F218,E200:E218)/MAX(SUM(E219),),0)</f>
        <v>0</v>
      </c>
      <c r="G219" s="351">
        <f>IFERROR(SUMPRODUCT(G200:G218,E200:E218)/MAX(SUM(E219),),0)</f>
        <v>0</v>
      </c>
      <c r="H219" s="352">
        <f>SUMPRODUCT($E$200:$E$218,H200:H218)/MAX(SUM($E$200:$E$218),1)</f>
        <v>0</v>
      </c>
      <c r="I219" s="352">
        <f t="shared" ref="I219:J219" si="5">SUMPRODUCT($E$200:$E$218,I200:I218)/MAX(SUM($E$200:$E$218),1)</f>
        <v>0</v>
      </c>
      <c r="J219" s="350">
        <f t="shared" si="5"/>
        <v>0</v>
      </c>
      <c r="K219" s="9" t="s">
        <v>1460</v>
      </c>
    </row>
    <row r="220" spans="2:15" ht="20.25" customHeight="1" thickBot="1" x14ac:dyDescent="0.35">
      <c r="B220" s="42"/>
      <c r="C220" s="42"/>
      <c r="D220" s="42"/>
      <c r="E220" s="44"/>
      <c r="F220" s="44"/>
      <c r="G220" s="18"/>
      <c r="H220" s="331">
        <f>IFERROR(H219/F219-1,0)</f>
        <v>0</v>
      </c>
      <c r="I220" s="351">
        <f>I219-$F$219</f>
        <v>0</v>
      </c>
      <c r="J220" s="350">
        <f>J219-I219</f>
        <v>0</v>
      </c>
      <c r="K220" s="9" t="s">
        <v>1461</v>
      </c>
      <c r="O220" s="9"/>
    </row>
    <row r="221" spans="2:15" ht="20.25" customHeight="1" thickBot="1" x14ac:dyDescent="0.35">
      <c r="B221" s="42"/>
      <c r="C221" s="42"/>
      <c r="D221" s="42"/>
      <c r="E221" s="44"/>
      <c r="F221" s="44"/>
      <c r="G221" s="18"/>
      <c r="H221" s="331"/>
      <c r="I221" s="18"/>
      <c r="J221" s="18"/>
      <c r="O221" s="9"/>
    </row>
    <row r="222" spans="2:15" ht="20.25" customHeight="1" thickBot="1" x14ac:dyDescent="0.35">
      <c r="B222" s="353" t="s">
        <v>1462</v>
      </c>
      <c r="E222" s="975" t="s">
        <v>1463</v>
      </c>
      <c r="F222" s="976"/>
      <c r="G222" s="155" t="s">
        <v>1711</v>
      </c>
      <c r="H222" s="331"/>
      <c r="I222" s="18"/>
      <c r="J222" s="18"/>
      <c r="O222" s="9"/>
    </row>
    <row r="223" spans="2:15" ht="20.25" customHeight="1" thickBot="1" x14ac:dyDescent="0.35">
      <c r="B223" s="23"/>
      <c r="E223" s="354" t="s">
        <v>1464</v>
      </c>
      <c r="F223" s="355" t="s">
        <v>1465</v>
      </c>
      <c r="G223" s="18"/>
      <c r="H223" s="331"/>
      <c r="I223" s="18"/>
      <c r="J223" s="18"/>
      <c r="O223" s="9"/>
    </row>
    <row r="224" spans="2:15" ht="20.25" customHeight="1" x14ac:dyDescent="0.3">
      <c r="B224" s="23" t="s">
        <v>1685</v>
      </c>
      <c r="D224" s="18">
        <f>F219</f>
        <v>0</v>
      </c>
      <c r="E224" s="356">
        <f>D224</f>
        <v>0</v>
      </c>
      <c r="F224" s="356">
        <f>D224</f>
        <v>0</v>
      </c>
      <c r="G224" s="18"/>
      <c r="H224" s="331"/>
      <c r="I224" s="18"/>
      <c r="J224" s="18"/>
      <c r="O224" s="9"/>
    </row>
    <row r="225" spans="1:19" ht="20.25" customHeight="1" x14ac:dyDescent="0.3">
      <c r="B225" s="23"/>
      <c r="D225" s="18"/>
      <c r="E225" s="357"/>
      <c r="F225" s="357"/>
      <c r="G225" s="18"/>
      <c r="H225" s="331"/>
      <c r="I225" s="18"/>
      <c r="J225" s="18"/>
      <c r="O225" s="9"/>
    </row>
    <row r="226" spans="1:19" ht="20.25" customHeight="1" x14ac:dyDescent="0.3">
      <c r="B226" s="23" t="s">
        <v>1466</v>
      </c>
      <c r="D226" s="358">
        <v>0.1</v>
      </c>
      <c r="E226" s="47"/>
      <c r="F226" s="359"/>
      <c r="G226" s="18"/>
      <c r="H226" s="331"/>
      <c r="I226" s="18"/>
      <c r="J226" s="18"/>
      <c r="O226" s="9"/>
    </row>
    <row r="227" spans="1:19" ht="20.25" customHeight="1" x14ac:dyDescent="0.3">
      <c r="B227" s="8" t="str">
        <f>"plafonnering  "&amp; D226*100&amp; "% gemiddelde dagprijs"</f>
        <v>plafonnering  10% gemiddelde dagprijs</v>
      </c>
      <c r="C227" s="10"/>
      <c r="D227" s="18">
        <f>ROUND(D226*D224,2)</f>
        <v>0</v>
      </c>
      <c r="E227" s="360"/>
      <c r="F227" s="361"/>
      <c r="G227" s="18"/>
      <c r="H227" s="331"/>
      <c r="I227" s="18"/>
      <c r="J227" s="18"/>
      <c r="O227" s="9"/>
    </row>
    <row r="228" spans="1:19" ht="20.25" customHeight="1" x14ac:dyDescent="0.3">
      <c r="B228" s="8"/>
      <c r="C228" s="10"/>
      <c r="D228" s="18"/>
      <c r="E228" s="360"/>
      <c r="F228" s="362"/>
      <c r="G228" s="18"/>
      <c r="H228" s="331"/>
      <c r="I228" s="18"/>
      <c r="J228" s="18"/>
      <c r="O228" s="9"/>
    </row>
    <row r="229" spans="1:19" ht="20.25" customHeight="1" x14ac:dyDescent="0.3">
      <c r="B229" s="23" t="s">
        <v>1467</v>
      </c>
      <c r="C229" s="1"/>
      <c r="D229" s="56" t="e">
        <f>G104</f>
        <v>#DIV/0!</v>
      </c>
      <c r="E229" s="357"/>
      <c r="F229" s="357" t="e">
        <f>D229</f>
        <v>#DIV/0!</v>
      </c>
      <c r="G229" s="18"/>
      <c r="H229" s="331"/>
      <c r="I229" s="18"/>
      <c r="J229" s="18"/>
      <c r="O229" s="9"/>
    </row>
    <row r="230" spans="1:19" ht="20.25" customHeight="1" x14ac:dyDescent="0.3">
      <c r="B230" s="23" t="str">
        <f>"Voor bestaande bewoners geplafonneerd tot " &amp; D226*100 &amp;"% van de gemiddelde dagprijs"</f>
        <v>Voor bestaande bewoners geplafonneerd tot 10% van de gemiddelde dagprijs</v>
      </c>
      <c r="C230" s="1"/>
      <c r="D230" s="18" t="e">
        <f>MIN(D226*D224,D229)</f>
        <v>#DIV/0!</v>
      </c>
      <c r="E230" s="357" t="e">
        <f>D230</f>
        <v>#DIV/0!</v>
      </c>
      <c r="F230" s="357"/>
      <c r="G230" s="18"/>
      <c r="H230" s="331"/>
      <c r="I230" s="18"/>
      <c r="J230" s="18"/>
      <c r="O230" s="9"/>
    </row>
    <row r="231" spans="1:19" ht="20.25" customHeight="1" x14ac:dyDescent="0.3">
      <c r="B231" s="23"/>
      <c r="E231" s="47"/>
      <c r="F231" s="47"/>
      <c r="G231" s="18"/>
      <c r="H231" s="331"/>
      <c r="I231" s="18"/>
      <c r="J231" s="18"/>
      <c r="O231" s="9"/>
    </row>
    <row r="232" spans="1:19" ht="20.25" customHeight="1" x14ac:dyDescent="0.3">
      <c r="B232" s="23" t="s">
        <v>1468</v>
      </c>
      <c r="D232" s="56"/>
      <c r="E232" s="47"/>
      <c r="F232" s="47"/>
      <c r="G232" s="18"/>
      <c r="H232" s="331"/>
      <c r="I232" s="18"/>
      <c r="J232" s="18"/>
      <c r="O232" s="9"/>
    </row>
    <row r="233" spans="1:19" ht="20.25" customHeight="1" x14ac:dyDescent="0.3">
      <c r="B233" s="8" t="s">
        <v>1469</v>
      </c>
      <c r="D233" s="18">
        <f>G136+G145</f>
        <v>0</v>
      </c>
      <c r="E233" s="357"/>
      <c r="F233" s="360">
        <f>D233</f>
        <v>0</v>
      </c>
      <c r="G233" s="18"/>
      <c r="H233" s="331"/>
      <c r="I233" s="18"/>
      <c r="J233" s="18"/>
      <c r="O233" s="9"/>
    </row>
    <row r="234" spans="1:19" ht="20.25" customHeight="1" x14ac:dyDescent="0.3">
      <c r="B234" s="8" t="s">
        <v>1470</v>
      </c>
      <c r="D234" s="18" t="e">
        <f>MIN(D227-D230,D233)</f>
        <v>#DIV/0!</v>
      </c>
      <c r="E234" s="357" t="e">
        <f>D234</f>
        <v>#DIV/0!</v>
      </c>
      <c r="F234" s="359"/>
      <c r="G234" s="18"/>
      <c r="H234" s="331"/>
      <c r="I234" s="18"/>
      <c r="J234" s="18"/>
      <c r="O234" s="9"/>
    </row>
    <row r="235" spans="1:19" ht="20.25" customHeight="1" x14ac:dyDescent="0.3">
      <c r="B235" s="23"/>
      <c r="E235" s="47"/>
      <c r="F235" s="47"/>
      <c r="G235" s="18"/>
      <c r="H235" s="331"/>
      <c r="I235" s="18"/>
      <c r="J235" s="18"/>
      <c r="O235" s="9"/>
    </row>
    <row r="236" spans="1:19" ht="20.25" customHeight="1" x14ac:dyDescent="0.3">
      <c r="B236" s="8" t="s">
        <v>1684</v>
      </c>
      <c r="D236" s="56"/>
      <c r="E236" s="363" t="e">
        <f>SUM(E224:E235)</f>
        <v>#DIV/0!</v>
      </c>
      <c r="F236" s="363" t="e">
        <f>SUM(F224:F235)</f>
        <v>#DIV/0!</v>
      </c>
      <c r="G236" s="18"/>
      <c r="H236" s="331"/>
      <c r="I236" s="18"/>
      <c r="J236" s="18"/>
      <c r="O236" s="9"/>
    </row>
    <row r="237" spans="1:19" ht="20.25" customHeight="1" thickBot="1" x14ac:dyDescent="0.35">
      <c r="B237" s="8"/>
      <c r="D237" s="56"/>
      <c r="E237" s="56"/>
      <c r="F237" s="56"/>
      <c r="G237" s="18"/>
      <c r="H237" s="331"/>
      <c r="I237" s="18"/>
      <c r="J237" s="18"/>
      <c r="O237" s="9"/>
    </row>
    <row r="238" spans="1:19" ht="20.25" customHeight="1" thickBot="1" x14ac:dyDescent="0.35">
      <c r="B238" s="23" t="s">
        <v>1471</v>
      </c>
      <c r="E238" s="364">
        <f>IFERROR(ROUND(E236/E224-1,4),0)</f>
        <v>0</v>
      </c>
      <c r="F238" s="365"/>
      <c r="G238" s="18"/>
      <c r="H238" s="18"/>
      <c r="O238" s="9"/>
    </row>
    <row r="239" spans="1:19" ht="15" thickBot="1" x14ac:dyDescent="0.35">
      <c r="B239" s="8"/>
      <c r="D239" s="56"/>
      <c r="E239" s="56"/>
      <c r="F239" s="56"/>
      <c r="Q239" s="133"/>
      <c r="S239" s="18"/>
    </row>
    <row r="240" spans="1:19" ht="15" thickBot="1" x14ac:dyDescent="0.35">
      <c r="A240" s="23"/>
      <c r="B240" s="353" t="s">
        <v>1472</v>
      </c>
      <c r="D240" s="56"/>
      <c r="E240" s="366"/>
      <c r="F240" s="56"/>
      <c r="G240" s="302"/>
      <c r="H240" s="302"/>
      <c r="I240" s="302"/>
      <c r="J240" s="302"/>
      <c r="K240" s="302"/>
      <c r="L240" s="302"/>
      <c r="M240" s="302"/>
      <c r="N240" s="302"/>
      <c r="O240" s="302"/>
    </row>
    <row r="241" spans="1:15" ht="15" thickBot="1" x14ac:dyDescent="0.35">
      <c r="B241" s="8"/>
      <c r="D241" s="56"/>
      <c r="E241" s="56"/>
      <c r="F241" s="56"/>
    </row>
    <row r="242" spans="1:15" ht="14.4" customHeight="1" thickBot="1" x14ac:dyDescent="0.35">
      <c r="B242" s="23"/>
      <c r="E242" s="367" t="s">
        <v>1473</v>
      </c>
      <c r="F242" s="368" t="s">
        <v>1474</v>
      </c>
      <c r="G242" s="369" t="s">
        <v>1711</v>
      </c>
      <c r="H242" s="370"/>
      <c r="I242" s="371" t="s">
        <v>1475</v>
      </c>
      <c r="J242" s="372"/>
      <c r="K242" s="371" t="s">
        <v>1476</v>
      </c>
      <c r="L242" s="372"/>
      <c r="M242" s="371" t="s">
        <v>1477</v>
      </c>
      <c r="N242" s="372"/>
    </row>
    <row r="243" spans="1:15" ht="14.4" customHeight="1" thickBot="1" x14ac:dyDescent="0.35">
      <c r="B243" s="23" t="str">
        <f>IF(F52="JA","In geval van marge-evolutie, laatste jaar =","")</f>
        <v/>
      </c>
      <c r="E243" s="887" t="str">
        <f>IF(B243&lt;&gt;"",F96,"")</f>
        <v/>
      </c>
      <c r="F243" s="888"/>
      <c r="G243" s="373" t="str">
        <f>IF(E243&lt;&gt;"",IF(E243="Marge &gt;=0%","Opstap eerste jaar beperkt tot 5%, opstappen van 6 euro per 6 maand","Opstap tot max. 10%, beperkt tot 6 euro per 6 maand"),"")</f>
        <v/>
      </c>
      <c r="H243" s="370"/>
      <c r="I243" s="371"/>
      <c r="J243" s="372"/>
      <c r="K243" s="371"/>
      <c r="L243" s="372"/>
      <c r="M243" s="371"/>
      <c r="N243" s="372"/>
    </row>
    <row r="244" spans="1:15" x14ac:dyDescent="0.3">
      <c r="B244" s="23" t="s">
        <v>1740</v>
      </c>
      <c r="E244" s="374" t="e">
        <f>MIN(F97*E224,12,D230+D234)</f>
        <v>#DIV/0!</v>
      </c>
      <c r="F244" s="375" t="e">
        <f>(D230+D234)-E244</f>
        <v>#DIV/0!</v>
      </c>
      <c r="G244" s="370"/>
      <c r="H244" s="370"/>
      <c r="I244" s="372"/>
      <c r="J244" s="372"/>
      <c r="K244" s="372"/>
      <c r="L244" s="372"/>
      <c r="M244" s="372"/>
      <c r="N244" s="372"/>
    </row>
    <row r="245" spans="1:15" ht="15" thickBot="1" x14ac:dyDescent="0.35">
      <c r="B245" s="8" t="s">
        <v>1478</v>
      </c>
      <c r="E245" s="376">
        <f>IFERROR(ROUND(E244/E224,4),0)</f>
        <v>0</v>
      </c>
      <c r="F245" s="377">
        <f>IFERROR(F244/E224,0)</f>
        <v>0</v>
      </c>
      <c r="G245" s="370"/>
      <c r="H245" s="370"/>
      <c r="I245" s="372"/>
      <c r="J245" s="372"/>
      <c r="K245" s="372"/>
      <c r="L245" s="372"/>
      <c r="M245" s="372"/>
      <c r="N245" s="372"/>
    </row>
    <row r="246" spans="1:15" ht="15" thickBot="1" x14ac:dyDescent="0.35">
      <c r="B246" s="970"/>
      <c r="C246" s="970"/>
      <c r="D246" s="970"/>
      <c r="E246" s="970"/>
      <c r="F246" s="970"/>
      <c r="G246" s="970"/>
      <c r="H246" s="970"/>
      <c r="I246" s="1074"/>
      <c r="J246" s="1074"/>
      <c r="K246" s="1074"/>
      <c r="L246" s="1074"/>
      <c r="M246" s="1075"/>
      <c r="N246" s="1075"/>
    </row>
    <row r="247" spans="1:15" ht="15" thickBot="1" x14ac:dyDescent="0.35">
      <c r="A247" s="378" t="s">
        <v>1479</v>
      </c>
      <c r="B247" s="921" t="s">
        <v>1480</v>
      </c>
      <c r="C247" s="922"/>
      <c r="D247" s="922"/>
      <c r="E247" s="922"/>
      <c r="F247" s="922"/>
      <c r="G247" s="922"/>
      <c r="H247" s="922"/>
      <c r="I247" s="922"/>
      <c r="J247" s="922"/>
      <c r="K247" s="922"/>
      <c r="L247" s="922"/>
      <c r="M247" s="922"/>
      <c r="N247" s="922"/>
      <c r="O247" s="923"/>
    </row>
    <row r="249" spans="1:15" x14ac:dyDescent="0.3">
      <c r="B249" s="889"/>
      <c r="C249" s="890"/>
      <c r="D249" s="890"/>
      <c r="E249" s="890"/>
      <c r="F249" s="890"/>
      <c r="G249" s="890"/>
      <c r="H249" s="891"/>
      <c r="I249" s="924" t="s">
        <v>1475</v>
      </c>
      <c r="J249" s="925"/>
      <c r="K249" s="924" t="s">
        <v>1476</v>
      </c>
      <c r="L249" s="925"/>
      <c r="M249" s="924" t="s">
        <v>1477</v>
      </c>
      <c r="N249" s="925"/>
    </row>
    <row r="250" spans="1:15" x14ac:dyDescent="0.3">
      <c r="B250" s="1061" t="s">
        <v>1481</v>
      </c>
      <c r="C250" s="1062"/>
      <c r="D250" s="1062"/>
      <c r="E250" s="1062"/>
      <c r="F250" s="1062"/>
      <c r="G250" s="1062"/>
      <c r="H250" s="1063"/>
      <c r="I250" s="926"/>
      <c r="J250" s="927"/>
      <c r="K250" s="926"/>
      <c r="L250" s="927"/>
      <c r="M250" s="926"/>
      <c r="N250" s="927"/>
    </row>
    <row r="251" spans="1:15" x14ac:dyDescent="0.3">
      <c r="B251" s="1064"/>
      <c r="C251" s="1065"/>
      <c r="D251" s="1065"/>
      <c r="E251" s="1065"/>
      <c r="F251" s="1065"/>
      <c r="G251" s="1065"/>
      <c r="H251" s="1066"/>
      <c r="I251" s="928"/>
      <c r="J251" s="929"/>
      <c r="K251" s="928"/>
      <c r="L251" s="929"/>
      <c r="M251" s="928"/>
      <c r="N251" s="929"/>
    </row>
    <row r="252" spans="1:15" x14ac:dyDescent="0.3">
      <c r="B252" s="1067"/>
      <c r="C252" s="1068"/>
      <c r="D252" s="1068"/>
      <c r="E252" s="1068"/>
      <c r="F252" s="1068"/>
      <c r="G252" s="1068"/>
      <c r="H252" s="1069"/>
      <c r="I252" s="978">
        <v>0</v>
      </c>
      <c r="J252" s="980"/>
      <c r="K252" s="978">
        <v>0</v>
      </c>
      <c r="L252" s="980"/>
      <c r="M252" s="1070" t="e">
        <f t="shared" ref="M252:M265" si="6">(K252-I252)/I252</f>
        <v>#DIV/0!</v>
      </c>
      <c r="N252" s="1071"/>
    </row>
    <row r="253" spans="1:15" x14ac:dyDescent="0.3">
      <c r="B253" s="879"/>
      <c r="C253" s="880"/>
      <c r="D253" s="880"/>
      <c r="E253" s="880"/>
      <c r="F253" s="880"/>
      <c r="G253" s="880"/>
      <c r="H253" s="881"/>
      <c r="I253" s="882"/>
      <c r="J253" s="883"/>
      <c r="K253" s="882"/>
      <c r="L253" s="883"/>
      <c r="M253" s="895" t="e">
        <f t="shared" si="6"/>
        <v>#DIV/0!</v>
      </c>
      <c r="N253" s="896"/>
    </row>
    <row r="254" spans="1:15" x14ac:dyDescent="0.3">
      <c r="B254" s="879"/>
      <c r="C254" s="880"/>
      <c r="D254" s="880"/>
      <c r="E254" s="880"/>
      <c r="F254" s="880"/>
      <c r="G254" s="880"/>
      <c r="H254" s="881"/>
      <c r="I254" s="882"/>
      <c r="J254" s="883"/>
      <c r="K254" s="882"/>
      <c r="L254" s="883"/>
      <c r="M254" s="895" t="e">
        <f t="shared" si="6"/>
        <v>#DIV/0!</v>
      </c>
      <c r="N254" s="896"/>
    </row>
    <row r="255" spans="1:15" x14ac:dyDescent="0.3">
      <c r="B255" s="879"/>
      <c r="C255" s="880"/>
      <c r="D255" s="880"/>
      <c r="E255" s="880"/>
      <c r="F255" s="880"/>
      <c r="G255" s="880"/>
      <c r="H255" s="881"/>
      <c r="I255" s="882"/>
      <c r="J255" s="883"/>
      <c r="K255" s="882"/>
      <c r="L255" s="883"/>
      <c r="M255" s="895" t="e">
        <f t="shared" si="6"/>
        <v>#DIV/0!</v>
      </c>
      <c r="N255" s="896"/>
    </row>
    <row r="256" spans="1:15" x14ac:dyDescent="0.3">
      <c r="B256" s="879"/>
      <c r="C256" s="880"/>
      <c r="D256" s="880"/>
      <c r="E256" s="880"/>
      <c r="F256" s="880"/>
      <c r="G256" s="880"/>
      <c r="H256" s="881"/>
      <c r="I256" s="882"/>
      <c r="J256" s="883"/>
      <c r="K256" s="882"/>
      <c r="L256" s="883"/>
      <c r="M256" s="895" t="e">
        <f t="shared" si="6"/>
        <v>#DIV/0!</v>
      </c>
      <c r="N256" s="896"/>
    </row>
    <row r="257" spans="2:14" x14ac:dyDescent="0.3">
      <c r="B257" s="879"/>
      <c r="C257" s="880"/>
      <c r="D257" s="880"/>
      <c r="E257" s="880"/>
      <c r="F257" s="880"/>
      <c r="G257" s="880"/>
      <c r="H257" s="881"/>
      <c r="I257" s="882"/>
      <c r="J257" s="883"/>
      <c r="K257" s="882"/>
      <c r="L257" s="883"/>
      <c r="M257" s="895" t="e">
        <f t="shared" si="6"/>
        <v>#DIV/0!</v>
      </c>
      <c r="N257" s="896"/>
    </row>
    <row r="258" spans="2:14" x14ac:dyDescent="0.3">
      <c r="B258" s="879"/>
      <c r="C258" s="880"/>
      <c r="D258" s="880"/>
      <c r="E258" s="880"/>
      <c r="F258" s="880"/>
      <c r="G258" s="880"/>
      <c r="H258" s="881"/>
      <c r="I258" s="882"/>
      <c r="J258" s="883"/>
      <c r="K258" s="882"/>
      <c r="L258" s="883"/>
      <c r="M258" s="895" t="e">
        <f t="shared" si="6"/>
        <v>#DIV/0!</v>
      </c>
      <c r="N258" s="896"/>
    </row>
    <row r="259" spans="2:14" x14ac:dyDescent="0.3">
      <c r="B259" s="879"/>
      <c r="C259" s="880"/>
      <c r="D259" s="880"/>
      <c r="E259" s="880"/>
      <c r="F259" s="880"/>
      <c r="G259" s="880"/>
      <c r="H259" s="881"/>
      <c r="I259" s="882"/>
      <c r="J259" s="883"/>
      <c r="K259" s="882"/>
      <c r="L259" s="883"/>
      <c r="M259" s="895" t="e">
        <f t="shared" si="6"/>
        <v>#DIV/0!</v>
      </c>
      <c r="N259" s="896"/>
    </row>
    <row r="260" spans="2:14" x14ac:dyDescent="0.3">
      <c r="B260" s="879"/>
      <c r="C260" s="880"/>
      <c r="D260" s="880"/>
      <c r="E260" s="880"/>
      <c r="F260" s="880"/>
      <c r="G260" s="880"/>
      <c r="H260" s="881"/>
      <c r="I260" s="882"/>
      <c r="J260" s="883"/>
      <c r="K260" s="882"/>
      <c r="L260" s="883"/>
      <c r="M260" s="895" t="e">
        <f t="shared" si="6"/>
        <v>#DIV/0!</v>
      </c>
      <c r="N260" s="896"/>
    </row>
    <row r="261" spans="2:14" x14ac:dyDescent="0.3">
      <c r="B261" s="879"/>
      <c r="C261" s="880"/>
      <c r="D261" s="880"/>
      <c r="E261" s="880"/>
      <c r="F261" s="880"/>
      <c r="G261" s="880"/>
      <c r="H261" s="881"/>
      <c r="I261" s="882"/>
      <c r="J261" s="883"/>
      <c r="K261" s="882"/>
      <c r="L261" s="883"/>
      <c r="M261" s="895" t="e">
        <f t="shared" si="6"/>
        <v>#DIV/0!</v>
      </c>
      <c r="N261" s="896"/>
    </row>
    <row r="262" spans="2:14" x14ac:dyDescent="0.3">
      <c r="B262" s="879"/>
      <c r="C262" s="880"/>
      <c r="D262" s="880"/>
      <c r="E262" s="880"/>
      <c r="F262" s="880"/>
      <c r="G262" s="880"/>
      <c r="H262" s="881"/>
      <c r="I262" s="882"/>
      <c r="J262" s="883"/>
      <c r="K262" s="882"/>
      <c r="L262" s="883"/>
      <c r="M262" s="895" t="e">
        <f t="shared" si="6"/>
        <v>#DIV/0!</v>
      </c>
      <c r="N262" s="896"/>
    </row>
    <row r="263" spans="2:14" x14ac:dyDescent="0.3">
      <c r="B263" s="879"/>
      <c r="C263" s="880"/>
      <c r="D263" s="880"/>
      <c r="E263" s="880"/>
      <c r="F263" s="880"/>
      <c r="G263" s="880"/>
      <c r="H263" s="881"/>
      <c r="I263" s="882"/>
      <c r="J263" s="883"/>
      <c r="K263" s="882"/>
      <c r="L263" s="883"/>
      <c r="M263" s="895" t="e">
        <f t="shared" si="6"/>
        <v>#DIV/0!</v>
      </c>
      <c r="N263" s="896"/>
    </row>
    <row r="264" spans="2:14" x14ac:dyDescent="0.3">
      <c r="B264" s="879"/>
      <c r="C264" s="880"/>
      <c r="D264" s="880"/>
      <c r="E264" s="880"/>
      <c r="F264" s="880"/>
      <c r="G264" s="880"/>
      <c r="H264" s="881"/>
      <c r="I264" s="882"/>
      <c r="J264" s="883"/>
      <c r="K264" s="882"/>
      <c r="L264" s="883"/>
      <c r="M264" s="895" t="e">
        <f t="shared" si="6"/>
        <v>#DIV/0!</v>
      </c>
      <c r="N264" s="896"/>
    </row>
    <row r="265" spans="2:14" x14ac:dyDescent="0.3">
      <c r="B265" s="884"/>
      <c r="C265" s="885"/>
      <c r="D265" s="885"/>
      <c r="E265" s="885"/>
      <c r="F265" s="885"/>
      <c r="G265" s="885"/>
      <c r="H265" s="886"/>
      <c r="I265" s="737"/>
      <c r="J265" s="739"/>
      <c r="K265" s="737"/>
      <c r="L265" s="739"/>
      <c r="M265" s="897" t="e">
        <f t="shared" si="6"/>
        <v>#DIV/0!</v>
      </c>
      <c r="N265" s="898"/>
    </row>
    <row r="267" spans="2:14" x14ac:dyDescent="0.3">
      <c r="B267" s="379" t="s">
        <v>1482</v>
      </c>
      <c r="C267" s="327"/>
      <c r="D267" s="327"/>
      <c r="E267" s="327"/>
    </row>
    <row r="268" spans="2:14" x14ac:dyDescent="0.3">
      <c r="B268" s="380" t="s">
        <v>1483</v>
      </c>
      <c r="C268" s="381"/>
      <c r="D268" s="381"/>
      <c r="E268" s="381"/>
      <c r="F268" s="381"/>
      <c r="G268" s="381"/>
      <c r="H268" s="381"/>
      <c r="I268" s="381"/>
      <c r="J268" s="381"/>
      <c r="K268" s="381"/>
      <c r="L268" s="381"/>
      <c r="M268" s="381"/>
    </row>
    <row r="269" spans="2:14" x14ac:dyDescent="0.3">
      <c r="B269" s="382" t="s">
        <v>1484</v>
      </c>
      <c r="C269" s="380"/>
      <c r="D269" s="380"/>
      <c r="E269" s="380"/>
      <c r="F269" s="380"/>
      <c r="G269" s="380"/>
      <c r="H269" s="380"/>
      <c r="I269" s="380"/>
      <c r="J269" s="380"/>
      <c r="K269" s="380"/>
      <c r="L269" s="380"/>
      <c r="M269" s="380"/>
    </row>
    <row r="270" spans="2:14" x14ac:dyDescent="0.3">
      <c r="B270" s="380" t="s">
        <v>1485</v>
      </c>
      <c r="C270" s="380"/>
      <c r="D270" s="380"/>
      <c r="E270" s="380"/>
      <c r="F270" s="380"/>
      <c r="G270" s="380"/>
      <c r="H270" s="380"/>
      <c r="I270" s="380"/>
      <c r="J270" s="380"/>
      <c r="K270" s="380"/>
      <c r="L270" s="380"/>
      <c r="M270" s="380"/>
    </row>
    <row r="271" spans="2:14" x14ac:dyDescent="0.3">
      <c r="B271" s="380"/>
      <c r="C271" s="380"/>
      <c r="D271" s="380"/>
      <c r="E271" s="380"/>
      <c r="F271" s="380"/>
      <c r="G271" s="380"/>
      <c r="H271" s="380"/>
      <c r="I271" s="380"/>
      <c r="J271" s="380"/>
      <c r="K271" s="380"/>
      <c r="L271" s="380"/>
      <c r="M271" s="380"/>
    </row>
    <row r="272" spans="2:14" x14ac:dyDescent="0.3">
      <c r="B272" s="380"/>
      <c r="C272" s="380"/>
      <c r="D272" s="380"/>
      <c r="E272" s="380"/>
      <c r="F272" s="380"/>
      <c r="G272" s="380"/>
      <c r="H272" s="380"/>
      <c r="I272" s="380"/>
      <c r="J272" s="380"/>
      <c r="K272" s="380"/>
      <c r="L272" s="380"/>
      <c r="M272" s="380"/>
    </row>
    <row r="273" spans="2:14" x14ac:dyDescent="0.3">
      <c r="B273" s="899" t="s">
        <v>1486</v>
      </c>
      <c r="C273" s="900"/>
      <c r="D273" s="900"/>
      <c r="E273" s="900"/>
      <c r="F273" s="901"/>
      <c r="G273" s="9" t="s">
        <v>1487</v>
      </c>
      <c r="I273" s="9" t="s">
        <v>1488</v>
      </c>
    </row>
    <row r="274" spans="2:14" x14ac:dyDescent="0.3">
      <c r="B274" s="902"/>
      <c r="C274" s="903"/>
      <c r="D274" s="903"/>
      <c r="E274" s="903"/>
      <c r="F274" s="903"/>
      <c r="G274" s="903"/>
      <c r="H274" s="903"/>
      <c r="I274" s="903"/>
      <c r="J274" s="903"/>
      <c r="K274" s="903"/>
      <c r="L274" s="903"/>
      <c r="M274" s="903"/>
      <c r="N274" s="904"/>
    </row>
    <row r="275" spans="2:14" x14ac:dyDescent="0.3">
      <c r="B275" s="902"/>
      <c r="C275" s="903"/>
      <c r="D275" s="903"/>
      <c r="E275" s="903"/>
      <c r="F275" s="903"/>
      <c r="G275" s="903"/>
      <c r="H275" s="903"/>
      <c r="I275" s="903"/>
      <c r="J275" s="903"/>
      <c r="K275" s="903"/>
      <c r="L275" s="903"/>
      <c r="M275" s="903"/>
      <c r="N275" s="904"/>
    </row>
    <row r="276" spans="2:14" x14ac:dyDescent="0.3">
      <c r="B276" s="902"/>
      <c r="C276" s="903"/>
      <c r="D276" s="903"/>
      <c r="E276" s="903"/>
      <c r="F276" s="903"/>
      <c r="G276" s="903"/>
      <c r="H276" s="903"/>
      <c r="I276" s="903"/>
      <c r="J276" s="903"/>
      <c r="K276" s="903"/>
      <c r="L276" s="903"/>
      <c r="M276" s="903"/>
      <c r="N276" s="904"/>
    </row>
    <row r="277" spans="2:14" x14ac:dyDescent="0.3">
      <c r="B277" s="902"/>
      <c r="C277" s="903"/>
      <c r="D277" s="903"/>
      <c r="E277" s="903"/>
      <c r="F277" s="903"/>
      <c r="G277" s="903"/>
      <c r="H277" s="903"/>
      <c r="I277" s="903"/>
      <c r="J277" s="903"/>
      <c r="K277" s="903"/>
      <c r="L277" s="903"/>
      <c r="M277" s="903"/>
      <c r="N277" s="904"/>
    </row>
    <row r="278" spans="2:14" x14ac:dyDescent="0.3">
      <c r="B278" s="902"/>
      <c r="C278" s="903"/>
      <c r="D278" s="903"/>
      <c r="E278" s="903"/>
      <c r="F278" s="903"/>
      <c r="G278" s="903"/>
      <c r="H278" s="903"/>
      <c r="I278" s="903"/>
      <c r="J278" s="903"/>
      <c r="K278" s="903"/>
      <c r="L278" s="903"/>
      <c r="M278" s="903"/>
      <c r="N278" s="904"/>
    </row>
    <row r="279" spans="2:14" x14ac:dyDescent="0.3">
      <c r="B279" s="135"/>
      <c r="C279" s="135"/>
      <c r="D279" s="135"/>
      <c r="E279" s="135"/>
      <c r="F279" s="135"/>
      <c r="G279" s="135"/>
      <c r="H279" s="135"/>
      <c r="I279" s="135"/>
      <c r="J279" s="135"/>
      <c r="K279" s="135"/>
      <c r="L279" s="135"/>
      <c r="M279" s="135"/>
      <c r="N279" s="135"/>
    </row>
    <row r="280" spans="2:14" x14ac:dyDescent="0.3">
      <c r="B280" s="889" t="s">
        <v>1489</v>
      </c>
      <c r="C280" s="890"/>
      <c r="D280" s="890"/>
      <c r="E280" s="890"/>
      <c r="F280" s="890"/>
      <c r="G280" s="890"/>
      <c r="H280" s="891"/>
      <c r="I280" s="383"/>
    </row>
    <row r="281" spans="2:14" x14ac:dyDescent="0.3">
      <c r="B281" s="1061" t="s">
        <v>1490</v>
      </c>
      <c r="C281" s="1062"/>
      <c r="D281" s="1062"/>
      <c r="E281" s="1062"/>
      <c r="F281" s="1062"/>
      <c r="G281" s="1062"/>
      <c r="H281" s="1063"/>
      <c r="I281" s="383"/>
    </row>
    <row r="282" spans="2:14" x14ac:dyDescent="0.3">
      <c r="B282" s="1064" t="s">
        <v>1491</v>
      </c>
      <c r="C282" s="1065"/>
      <c r="D282" s="1065"/>
      <c r="E282" s="1065"/>
      <c r="F282" s="1065"/>
      <c r="G282" s="1065"/>
      <c r="H282" s="1066"/>
      <c r="I282" s="383"/>
    </row>
    <row r="283" spans="2:14" x14ac:dyDescent="0.3">
      <c r="B283" s="1067"/>
      <c r="C283" s="1068"/>
      <c r="D283" s="1068"/>
      <c r="E283" s="1068"/>
      <c r="F283" s="1068"/>
      <c r="G283" s="1068"/>
      <c r="H283" s="1069"/>
      <c r="I283" s="383"/>
    </row>
    <row r="284" spans="2:14" x14ac:dyDescent="0.3">
      <c r="B284" s="879"/>
      <c r="C284" s="880"/>
      <c r="D284" s="880"/>
      <c r="E284" s="880"/>
      <c r="F284" s="880"/>
      <c r="G284" s="880"/>
      <c r="H284" s="881"/>
      <c r="I284" s="383"/>
    </row>
    <row r="285" spans="2:14" x14ac:dyDescent="0.3">
      <c r="B285" s="879"/>
      <c r="C285" s="880"/>
      <c r="D285" s="880"/>
      <c r="E285" s="880"/>
      <c r="F285" s="880"/>
      <c r="G285" s="880"/>
      <c r="H285" s="881"/>
      <c r="I285" s="383"/>
    </row>
    <row r="286" spans="2:14" x14ac:dyDescent="0.3">
      <c r="B286" s="879"/>
      <c r="C286" s="880"/>
      <c r="D286" s="880"/>
      <c r="E286" s="880"/>
      <c r="F286" s="880"/>
      <c r="G286" s="880"/>
      <c r="H286" s="881"/>
      <c r="I286" s="383"/>
    </row>
    <row r="287" spans="2:14" x14ac:dyDescent="0.3">
      <c r="B287" s="879"/>
      <c r="C287" s="880"/>
      <c r="D287" s="880"/>
      <c r="E287" s="880"/>
      <c r="F287" s="880"/>
      <c r="G287" s="880"/>
      <c r="H287" s="881"/>
      <c r="I287" s="383"/>
    </row>
    <row r="288" spans="2:14" x14ac:dyDescent="0.3">
      <c r="B288" s="879"/>
      <c r="C288" s="880"/>
      <c r="D288" s="880"/>
      <c r="E288" s="880"/>
      <c r="F288" s="880"/>
      <c r="G288" s="880"/>
      <c r="H288" s="881"/>
      <c r="I288" s="383"/>
    </row>
    <row r="289" spans="2:14" x14ac:dyDescent="0.3">
      <c r="B289" s="879"/>
      <c r="C289" s="880"/>
      <c r="D289" s="880"/>
      <c r="E289" s="880"/>
      <c r="F289" s="880"/>
      <c r="G289" s="880"/>
      <c r="H289" s="881"/>
      <c r="I289" s="383"/>
    </row>
    <row r="290" spans="2:14" x14ac:dyDescent="0.3">
      <c r="B290" s="879"/>
      <c r="C290" s="880"/>
      <c r="D290" s="880"/>
      <c r="E290" s="880"/>
      <c r="F290" s="880"/>
      <c r="G290" s="880"/>
      <c r="H290" s="881"/>
      <c r="I290" s="383"/>
    </row>
    <row r="291" spans="2:14" x14ac:dyDescent="0.3">
      <c r="B291" s="879"/>
      <c r="C291" s="880"/>
      <c r="D291" s="880"/>
      <c r="E291" s="880"/>
      <c r="F291" s="880"/>
      <c r="G291" s="880"/>
      <c r="H291" s="881"/>
      <c r="I291" s="383"/>
    </row>
    <row r="292" spans="2:14" x14ac:dyDescent="0.3">
      <c r="B292" s="879"/>
      <c r="C292" s="880"/>
      <c r="D292" s="880"/>
      <c r="E292" s="880"/>
      <c r="F292" s="880"/>
      <c r="G292" s="880"/>
      <c r="H292" s="881"/>
      <c r="I292" s="383"/>
    </row>
    <row r="293" spans="2:14" x14ac:dyDescent="0.3">
      <c r="B293" s="879"/>
      <c r="C293" s="880"/>
      <c r="D293" s="880"/>
      <c r="E293" s="880"/>
      <c r="F293" s="880"/>
      <c r="G293" s="880"/>
      <c r="H293" s="881"/>
      <c r="I293" s="383"/>
    </row>
    <row r="294" spans="2:14" x14ac:dyDescent="0.3">
      <c r="B294" s="884"/>
      <c r="C294" s="885"/>
      <c r="D294" s="885"/>
      <c r="E294" s="885"/>
      <c r="F294" s="885"/>
      <c r="G294" s="885"/>
      <c r="H294" s="886"/>
      <c r="I294" s="383"/>
    </row>
    <row r="295" spans="2:14" x14ac:dyDescent="0.3">
      <c r="B295" s="135"/>
      <c r="C295" s="135"/>
      <c r="D295" s="135"/>
      <c r="E295" s="135"/>
      <c r="F295" s="135"/>
      <c r="G295" s="135"/>
      <c r="H295" s="135"/>
      <c r="I295" s="135"/>
      <c r="J295" s="135"/>
      <c r="K295" s="135"/>
      <c r="L295" s="135"/>
      <c r="M295" s="135"/>
      <c r="N295" s="135"/>
    </row>
    <row r="296" spans="2:14" x14ac:dyDescent="0.3">
      <c r="B296" s="135"/>
      <c r="C296" s="135"/>
      <c r="D296" s="135"/>
      <c r="E296" s="135"/>
      <c r="F296" s="135"/>
      <c r="G296" s="135"/>
      <c r="H296" s="135"/>
      <c r="I296" s="135"/>
      <c r="J296" s="135"/>
      <c r="K296" s="135"/>
      <c r="L296" s="135"/>
      <c r="M296" s="135"/>
      <c r="N296" s="135"/>
    </row>
    <row r="297" spans="2:14" x14ac:dyDescent="0.3">
      <c r="B297" s="135"/>
      <c r="C297" s="135"/>
      <c r="D297" s="135"/>
      <c r="E297" s="135"/>
      <c r="F297" s="135"/>
      <c r="G297" s="384"/>
      <c r="H297" s="384"/>
      <c r="I297" s="135"/>
      <c r="J297" s="135"/>
      <c r="K297" s="135"/>
      <c r="L297" s="135"/>
      <c r="M297" s="135"/>
      <c r="N297" s="135"/>
    </row>
    <row r="298" spans="2:14" x14ac:dyDescent="0.3">
      <c r="B298" s="889" t="s">
        <v>1492</v>
      </c>
      <c r="C298" s="890"/>
      <c r="D298" s="890"/>
      <c r="E298" s="890"/>
      <c r="F298" s="890"/>
      <c r="G298" s="890"/>
      <c r="H298" s="890"/>
      <c r="I298" s="890"/>
      <c r="J298" s="890"/>
      <c r="K298" s="890"/>
      <c r="L298" s="891"/>
      <c r="M298" s="23"/>
      <c r="N298" s="23"/>
    </row>
    <row r="299" spans="2:14" x14ac:dyDescent="0.3">
      <c r="B299" s="892" t="s">
        <v>1493</v>
      </c>
      <c r="C299" s="893"/>
      <c r="D299" s="893"/>
      <c r="E299" s="893"/>
      <c r="F299" s="893"/>
      <c r="G299" s="893"/>
      <c r="H299" s="893"/>
      <c r="I299" s="893"/>
      <c r="J299" s="893"/>
      <c r="K299" s="893"/>
      <c r="L299" s="894"/>
      <c r="M299" s="8"/>
      <c r="N299" s="8"/>
    </row>
    <row r="300" spans="2:14" x14ac:dyDescent="0.3">
      <c r="B300" s="905" t="s">
        <v>1494</v>
      </c>
      <c r="C300" s="906"/>
      <c r="D300" s="906"/>
      <c r="E300" s="906"/>
      <c r="F300" s="906"/>
      <c r="G300" s="906"/>
      <c r="H300" s="907"/>
      <c r="I300" s="905" t="s">
        <v>1495</v>
      </c>
      <c r="J300" s="907"/>
      <c r="K300" s="905" t="s">
        <v>1496</v>
      </c>
      <c r="L300" s="907"/>
      <c r="M300" s="10"/>
      <c r="N300" s="10"/>
    </row>
    <row r="301" spans="2:14" x14ac:dyDescent="0.3">
      <c r="B301" s="1067"/>
      <c r="C301" s="1068"/>
      <c r="D301" s="1068"/>
      <c r="E301" s="1068"/>
      <c r="F301" s="1068"/>
      <c r="G301" s="1068"/>
      <c r="H301" s="1069"/>
      <c r="I301" s="978">
        <v>0</v>
      </c>
      <c r="J301" s="980"/>
      <c r="K301" s="978">
        <v>0</v>
      </c>
      <c r="L301" s="980"/>
    </row>
    <row r="302" spans="2:14" x14ac:dyDescent="0.3">
      <c r="B302" s="879"/>
      <c r="C302" s="880"/>
      <c r="D302" s="880"/>
      <c r="E302" s="880"/>
      <c r="F302" s="880"/>
      <c r="G302" s="880"/>
      <c r="H302" s="881"/>
      <c r="I302" s="882"/>
      <c r="J302" s="883"/>
      <c r="K302" s="882"/>
      <c r="L302" s="883"/>
    </row>
    <row r="303" spans="2:14" x14ac:dyDescent="0.3">
      <c r="B303" s="879"/>
      <c r="C303" s="880"/>
      <c r="D303" s="880"/>
      <c r="E303" s="880"/>
      <c r="F303" s="880"/>
      <c r="G303" s="880"/>
      <c r="H303" s="881"/>
      <c r="I303" s="882"/>
      <c r="J303" s="883"/>
      <c r="K303" s="882"/>
      <c r="L303" s="883"/>
    </row>
    <row r="304" spans="2:14" x14ac:dyDescent="0.3">
      <c r="B304" s="879"/>
      <c r="C304" s="880"/>
      <c r="D304" s="880"/>
      <c r="E304" s="880"/>
      <c r="F304" s="880"/>
      <c r="G304" s="880"/>
      <c r="H304" s="881"/>
      <c r="I304" s="882"/>
      <c r="J304" s="883"/>
      <c r="K304" s="882"/>
      <c r="L304" s="883"/>
    </row>
    <row r="305" spans="2:12" x14ac:dyDescent="0.3">
      <c r="B305" s="879"/>
      <c r="C305" s="880"/>
      <c r="D305" s="880"/>
      <c r="E305" s="880"/>
      <c r="F305" s="880"/>
      <c r="G305" s="880"/>
      <c r="H305" s="881"/>
      <c r="I305" s="882"/>
      <c r="J305" s="883"/>
      <c r="K305" s="882"/>
      <c r="L305" s="883"/>
    </row>
    <row r="306" spans="2:12" x14ac:dyDescent="0.3">
      <c r="B306" s="879"/>
      <c r="C306" s="880"/>
      <c r="D306" s="880"/>
      <c r="E306" s="880"/>
      <c r="F306" s="880"/>
      <c r="G306" s="880"/>
      <c r="H306" s="881"/>
      <c r="I306" s="882"/>
      <c r="J306" s="883"/>
      <c r="K306" s="882"/>
      <c r="L306" s="883"/>
    </row>
    <row r="307" spans="2:12" x14ac:dyDescent="0.3">
      <c r="B307" s="879"/>
      <c r="C307" s="880"/>
      <c r="D307" s="880"/>
      <c r="E307" s="880"/>
      <c r="F307" s="880"/>
      <c r="G307" s="880"/>
      <c r="H307" s="881"/>
      <c r="I307" s="882"/>
      <c r="J307" s="883"/>
      <c r="K307" s="882"/>
      <c r="L307" s="883"/>
    </row>
    <row r="308" spans="2:12" x14ac:dyDescent="0.3">
      <c r="B308" s="879"/>
      <c r="C308" s="880"/>
      <c r="D308" s="880"/>
      <c r="E308" s="880"/>
      <c r="F308" s="880"/>
      <c r="G308" s="880"/>
      <c r="H308" s="881"/>
      <c r="I308" s="882"/>
      <c r="J308" s="883"/>
      <c r="K308" s="882"/>
      <c r="L308" s="883"/>
    </row>
    <row r="309" spans="2:12" x14ac:dyDescent="0.3">
      <c r="B309" s="879"/>
      <c r="C309" s="880"/>
      <c r="D309" s="880"/>
      <c r="E309" s="880"/>
      <c r="F309" s="880"/>
      <c r="G309" s="880"/>
      <c r="H309" s="881"/>
      <c r="I309" s="882"/>
      <c r="J309" s="883"/>
      <c r="K309" s="882"/>
      <c r="L309" s="883"/>
    </row>
    <row r="310" spans="2:12" x14ac:dyDescent="0.3">
      <c r="B310" s="884"/>
      <c r="C310" s="885"/>
      <c r="D310" s="885"/>
      <c r="E310" s="885"/>
      <c r="F310" s="885"/>
      <c r="G310" s="885"/>
      <c r="H310" s="886"/>
      <c r="I310" s="737"/>
      <c r="J310" s="739"/>
      <c r="K310" s="737"/>
      <c r="L310" s="739"/>
    </row>
  </sheetData>
  <sheetProtection algorithmName="SHA-512" hashValue="a5yCpqFagbBn+R+oWIrzC/oK5moum+wPF8W+2zGMvORMlC5sl/ui5krlgC3QbeyP8/UPpQvTXokSDribAk2fcA==" saltValue="vw0PNCKmlup2Y1tXSsFRpA==" spinCount="100000" sheet="1" formatCells="0" formatColumns="0" formatRows="0" insertColumns="0" insertRows="0" insertHyperlinks="0" deleteColumns="0" deleteRows="0" sort="0" autoFilter="0" pivotTables="0"/>
  <mergeCells count="382">
    <mergeCell ref="B250:H250"/>
    <mergeCell ref="B251:H251"/>
    <mergeCell ref="B249:H249"/>
    <mergeCell ref="A2:A6"/>
    <mergeCell ref="A1:O1"/>
    <mergeCell ref="B246:H246"/>
    <mergeCell ref="I246:J246"/>
    <mergeCell ref="K246:L246"/>
    <mergeCell ref="M246:N246"/>
    <mergeCell ref="B4:O6"/>
    <mergeCell ref="B18:E18"/>
    <mergeCell ref="G18:I18"/>
    <mergeCell ref="J18:L18"/>
    <mergeCell ref="B19:E19"/>
    <mergeCell ref="G19:I19"/>
    <mergeCell ref="J19:L19"/>
    <mergeCell ref="A8:O8"/>
    <mergeCell ref="B15:E16"/>
    <mergeCell ref="G15:I15"/>
    <mergeCell ref="J15:L15"/>
    <mergeCell ref="B17:E17"/>
    <mergeCell ref="G17:I17"/>
    <mergeCell ref="J17:L17"/>
    <mergeCell ref="B10:O11"/>
    <mergeCell ref="B254:H254"/>
    <mergeCell ref="I254:J254"/>
    <mergeCell ref="K254:L254"/>
    <mergeCell ref="M254:N254"/>
    <mergeCell ref="B255:H255"/>
    <mergeCell ref="I255:J255"/>
    <mergeCell ref="K255:L255"/>
    <mergeCell ref="M255:N255"/>
    <mergeCell ref="B252:H252"/>
    <mergeCell ref="I252:J252"/>
    <mergeCell ref="K252:L252"/>
    <mergeCell ref="M252:N252"/>
    <mergeCell ref="B253:H253"/>
    <mergeCell ref="I253:J253"/>
    <mergeCell ref="K253:L253"/>
    <mergeCell ref="M253:N253"/>
    <mergeCell ref="B258:H258"/>
    <mergeCell ref="I258:J258"/>
    <mergeCell ref="K258:L258"/>
    <mergeCell ref="M258:N258"/>
    <mergeCell ref="B259:H259"/>
    <mergeCell ref="I259:J259"/>
    <mergeCell ref="K259:L259"/>
    <mergeCell ref="M259:N259"/>
    <mergeCell ref="B256:H256"/>
    <mergeCell ref="I256:J256"/>
    <mergeCell ref="K256:L256"/>
    <mergeCell ref="M256:N256"/>
    <mergeCell ref="B257:H257"/>
    <mergeCell ref="I257:J257"/>
    <mergeCell ref="K257:L257"/>
    <mergeCell ref="M257:N257"/>
    <mergeCell ref="B303:H303"/>
    <mergeCell ref="I303:J303"/>
    <mergeCell ref="K303:L303"/>
    <mergeCell ref="B304:H304"/>
    <mergeCell ref="I304:J304"/>
    <mergeCell ref="K304:L304"/>
    <mergeCell ref="B301:H301"/>
    <mergeCell ref="I301:J301"/>
    <mergeCell ref="K301:L301"/>
    <mergeCell ref="B302:H302"/>
    <mergeCell ref="I302:J302"/>
    <mergeCell ref="K302:L302"/>
    <mergeCell ref="K300:L300"/>
    <mergeCell ref="B294:H294"/>
    <mergeCell ref="B286:H286"/>
    <mergeCell ref="B287:H287"/>
    <mergeCell ref="B288:H288"/>
    <mergeCell ref="B280:H280"/>
    <mergeCell ref="B281:H281"/>
    <mergeCell ref="B282:H282"/>
    <mergeCell ref="B283:H283"/>
    <mergeCell ref="J20:L20"/>
    <mergeCell ref="B26:E26"/>
    <mergeCell ref="G26:I26"/>
    <mergeCell ref="J26:L26"/>
    <mergeCell ref="B23:E24"/>
    <mergeCell ref="G23:I24"/>
    <mergeCell ref="J23:L24"/>
    <mergeCell ref="G25:I25"/>
    <mergeCell ref="J25:L25"/>
    <mergeCell ref="B21:E21"/>
    <mergeCell ref="G21:I21"/>
    <mergeCell ref="J21:L21"/>
    <mergeCell ref="B22:E22"/>
    <mergeCell ref="G22:I22"/>
    <mergeCell ref="J22:L22"/>
    <mergeCell ref="B20:E20"/>
    <mergeCell ref="G20:I20"/>
    <mergeCell ref="B32:E32"/>
    <mergeCell ref="G32:I32"/>
    <mergeCell ref="J32:L32"/>
    <mergeCell ref="B33:E33"/>
    <mergeCell ref="G33:I33"/>
    <mergeCell ref="J33:L33"/>
    <mergeCell ref="B27:E27"/>
    <mergeCell ref="G27:I29"/>
    <mergeCell ref="J27:L29"/>
    <mergeCell ref="B28:E28"/>
    <mergeCell ref="B29:E29"/>
    <mergeCell ref="G30:I30"/>
    <mergeCell ref="J30:L30"/>
    <mergeCell ref="B30:E30"/>
    <mergeCell ref="G31:I31"/>
    <mergeCell ref="J31:L31"/>
    <mergeCell ref="B40:E41"/>
    <mergeCell ref="F40:N40"/>
    <mergeCell ref="F41:N41"/>
    <mergeCell ref="B37:E37"/>
    <mergeCell ref="G37:I38"/>
    <mergeCell ref="J37:L38"/>
    <mergeCell ref="B38:E38"/>
    <mergeCell ref="B34:E34"/>
    <mergeCell ref="G34:I35"/>
    <mergeCell ref="J34:L35"/>
    <mergeCell ref="B35:E35"/>
    <mergeCell ref="B36:E36"/>
    <mergeCell ref="G36:I36"/>
    <mergeCell ref="J36:L36"/>
    <mergeCell ref="A118:A141"/>
    <mergeCell ref="E119:F119"/>
    <mergeCell ref="G119:I119"/>
    <mergeCell ref="J119:L119"/>
    <mergeCell ref="M119:N119"/>
    <mergeCell ref="E124:F124"/>
    <mergeCell ref="G124:I124"/>
    <mergeCell ref="J124:L124"/>
    <mergeCell ref="M124:N124"/>
    <mergeCell ref="E125:F125"/>
    <mergeCell ref="G125:I125"/>
    <mergeCell ref="J125:L125"/>
    <mergeCell ref="M125:N125"/>
    <mergeCell ref="E122:F122"/>
    <mergeCell ref="G122:I122"/>
    <mergeCell ref="J122:L122"/>
    <mergeCell ref="E128:F128"/>
    <mergeCell ref="G128:I128"/>
    <mergeCell ref="J128:L128"/>
    <mergeCell ref="M128:N128"/>
    <mergeCell ref="E120:F120"/>
    <mergeCell ref="G120:I120"/>
    <mergeCell ref="J120:L120"/>
    <mergeCell ref="M120:N120"/>
    <mergeCell ref="B106:N106"/>
    <mergeCell ref="E121:F121"/>
    <mergeCell ref="G121:I121"/>
    <mergeCell ref="J121:L121"/>
    <mergeCell ref="M121:N121"/>
    <mergeCell ref="G126:I126"/>
    <mergeCell ref="J126:L126"/>
    <mergeCell ref="M126:N126"/>
    <mergeCell ref="E127:F127"/>
    <mergeCell ref="G127:I127"/>
    <mergeCell ref="J127:L127"/>
    <mergeCell ref="M127:N127"/>
    <mergeCell ref="M122:N122"/>
    <mergeCell ref="E123:F123"/>
    <mergeCell ref="G123:I123"/>
    <mergeCell ref="J123:L123"/>
    <mergeCell ref="M123:N123"/>
    <mergeCell ref="F109:N109"/>
    <mergeCell ref="F99:G99"/>
    <mergeCell ref="F91:G91"/>
    <mergeCell ref="F96:G96"/>
    <mergeCell ref="F97:G97"/>
    <mergeCell ref="F98:G98"/>
    <mergeCell ref="F100:G100"/>
    <mergeCell ref="F102:G102"/>
    <mergeCell ref="B105:F105"/>
    <mergeCell ref="G105:N105"/>
    <mergeCell ref="F75:G75"/>
    <mergeCell ref="F77:G77"/>
    <mergeCell ref="F78:G78"/>
    <mergeCell ref="F79:G79"/>
    <mergeCell ref="F52:G52"/>
    <mergeCell ref="F62:G62"/>
    <mergeCell ref="F68:G68"/>
    <mergeCell ref="F74:G74"/>
    <mergeCell ref="F81:G81"/>
    <mergeCell ref="F80:G80"/>
    <mergeCell ref="B167:D168"/>
    <mergeCell ref="B180:D180"/>
    <mergeCell ref="B192:Q195"/>
    <mergeCell ref="B198:D199"/>
    <mergeCell ref="E198:E199"/>
    <mergeCell ref="F198:F199"/>
    <mergeCell ref="G198:G199"/>
    <mergeCell ref="J198:J199"/>
    <mergeCell ref="I198:I199"/>
    <mergeCell ref="B182:D182"/>
    <mergeCell ref="B183:D183"/>
    <mergeCell ref="B184:D184"/>
    <mergeCell ref="B185:D185"/>
    <mergeCell ref="B186:D186"/>
    <mergeCell ref="B175:D175"/>
    <mergeCell ref="G175:L176"/>
    <mergeCell ref="B176:D176"/>
    <mergeCell ref="B169:D169"/>
    <mergeCell ref="E167:E168"/>
    <mergeCell ref="F167:F168"/>
    <mergeCell ref="G167:J167"/>
    <mergeCell ref="G169:I169"/>
    <mergeCell ref="B170:D170"/>
    <mergeCell ref="E222:F222"/>
    <mergeCell ref="B177:D177"/>
    <mergeCell ref="B178:D178"/>
    <mergeCell ref="G178:I180"/>
    <mergeCell ref="B179:D179"/>
    <mergeCell ref="B210:D210"/>
    <mergeCell ref="B211:D211"/>
    <mergeCell ref="E129:F129"/>
    <mergeCell ref="G129:I129"/>
    <mergeCell ref="H198:H199"/>
    <mergeCell ref="B187:D187"/>
    <mergeCell ref="B188:D188"/>
    <mergeCell ref="B190:Q190"/>
    <mergeCell ref="B181:D181"/>
    <mergeCell ref="B173:D173"/>
    <mergeCell ref="G173:K173"/>
    <mergeCell ref="B174:D174"/>
    <mergeCell ref="B145:F145"/>
    <mergeCell ref="G145:I145"/>
    <mergeCell ref="B146:F146"/>
    <mergeCell ref="B147:N147"/>
    <mergeCell ref="B149:E149"/>
    <mergeCell ref="F149:N149"/>
    <mergeCell ref="J129:L129"/>
    <mergeCell ref="M129:N129"/>
    <mergeCell ref="E126:F126"/>
    <mergeCell ref="B43:O43"/>
    <mergeCell ref="E134:F134"/>
    <mergeCell ref="G134:I134"/>
    <mergeCell ref="J134:L134"/>
    <mergeCell ref="M134:N134"/>
    <mergeCell ref="B111:O111"/>
    <mergeCell ref="F87:G87"/>
    <mergeCell ref="F93:G93"/>
    <mergeCell ref="B104:F104"/>
    <mergeCell ref="G104:I104"/>
    <mergeCell ref="F89:G89"/>
    <mergeCell ref="F92:G92"/>
    <mergeCell ref="F90:G90"/>
    <mergeCell ref="E132:F132"/>
    <mergeCell ref="G132:I132"/>
    <mergeCell ref="J132:L132"/>
    <mergeCell ref="M132:N132"/>
    <mergeCell ref="E133:F133"/>
    <mergeCell ref="G133:I133"/>
    <mergeCell ref="O49:O110"/>
    <mergeCell ref="F84:G84"/>
    <mergeCell ref="F85:G85"/>
    <mergeCell ref="K204:P204"/>
    <mergeCell ref="B218:D218"/>
    <mergeCell ref="B219:D219"/>
    <mergeCell ref="B217:D217"/>
    <mergeCell ref="B200:D200"/>
    <mergeCell ref="B208:D208"/>
    <mergeCell ref="B209:D209"/>
    <mergeCell ref="B216:D216"/>
    <mergeCell ref="B212:D212"/>
    <mergeCell ref="B213:D213"/>
    <mergeCell ref="B214:D214"/>
    <mergeCell ref="B205:D205"/>
    <mergeCell ref="B206:D206"/>
    <mergeCell ref="K206:Q207"/>
    <mergeCell ref="B207:D207"/>
    <mergeCell ref="B202:D202"/>
    <mergeCell ref="B203:D203"/>
    <mergeCell ref="B204:D204"/>
    <mergeCell ref="K200:P200"/>
    <mergeCell ref="B201:D201"/>
    <mergeCell ref="B215:D215"/>
    <mergeCell ref="K209:N211"/>
    <mergeCell ref="G137:N137"/>
    <mergeCell ref="B138:N138"/>
    <mergeCell ref="B140:E140"/>
    <mergeCell ref="B152:O152"/>
    <mergeCell ref="E130:F130"/>
    <mergeCell ref="G130:I130"/>
    <mergeCell ref="J130:L130"/>
    <mergeCell ref="M130:N130"/>
    <mergeCell ref="E131:F131"/>
    <mergeCell ref="G131:I131"/>
    <mergeCell ref="J131:L131"/>
    <mergeCell ref="M131:N131"/>
    <mergeCell ref="B135:N135"/>
    <mergeCell ref="B136:F136"/>
    <mergeCell ref="G136:I136"/>
    <mergeCell ref="J133:L133"/>
    <mergeCell ref="M133:N133"/>
    <mergeCell ref="F140:Q140"/>
    <mergeCell ref="G146:K146"/>
    <mergeCell ref="L146:N146"/>
    <mergeCell ref="A44:A110"/>
    <mergeCell ref="B45:O48"/>
    <mergeCell ref="F95:G95"/>
    <mergeCell ref="B113:O117"/>
    <mergeCell ref="B154:O157"/>
    <mergeCell ref="B247:O247"/>
    <mergeCell ref="I249:J251"/>
    <mergeCell ref="K249:L251"/>
    <mergeCell ref="M249:N251"/>
    <mergeCell ref="F55:G55"/>
    <mergeCell ref="F56:G56"/>
    <mergeCell ref="F57:G57"/>
    <mergeCell ref="F54:G54"/>
    <mergeCell ref="F58:G58"/>
    <mergeCell ref="G170:L170"/>
    <mergeCell ref="B171:D171"/>
    <mergeCell ref="G171:K172"/>
    <mergeCell ref="B172:D172"/>
    <mergeCell ref="B108:E108"/>
    <mergeCell ref="F108:N108"/>
    <mergeCell ref="B143:O143"/>
    <mergeCell ref="B160:Q160"/>
    <mergeCell ref="B162:Q165"/>
    <mergeCell ref="B137:F137"/>
    <mergeCell ref="B260:H260"/>
    <mergeCell ref="I260:J260"/>
    <mergeCell ref="K260:L260"/>
    <mergeCell ref="M260:N260"/>
    <mergeCell ref="B261:H261"/>
    <mergeCell ref="I261:J261"/>
    <mergeCell ref="K261:L261"/>
    <mergeCell ref="M261:N261"/>
    <mergeCell ref="B262:H262"/>
    <mergeCell ref="I262:J262"/>
    <mergeCell ref="K262:L262"/>
    <mergeCell ref="M262:N262"/>
    <mergeCell ref="I305:J305"/>
    <mergeCell ref="K305:L305"/>
    <mergeCell ref="B263:H263"/>
    <mergeCell ref="I263:J263"/>
    <mergeCell ref="K263:L263"/>
    <mergeCell ref="M263:N263"/>
    <mergeCell ref="B264:H264"/>
    <mergeCell ref="I264:J264"/>
    <mergeCell ref="K264:L264"/>
    <mergeCell ref="M264:N264"/>
    <mergeCell ref="B265:H265"/>
    <mergeCell ref="I265:J265"/>
    <mergeCell ref="K265:L265"/>
    <mergeCell ref="M265:N265"/>
    <mergeCell ref="B284:H284"/>
    <mergeCell ref="B285:H285"/>
    <mergeCell ref="B273:F273"/>
    <mergeCell ref="B274:N274"/>
    <mergeCell ref="B275:N275"/>
    <mergeCell ref="B276:N276"/>
    <mergeCell ref="B277:N277"/>
    <mergeCell ref="B278:N278"/>
    <mergeCell ref="B300:H300"/>
    <mergeCell ref="I300:J300"/>
    <mergeCell ref="B309:H309"/>
    <mergeCell ref="I309:J309"/>
    <mergeCell ref="K309:L309"/>
    <mergeCell ref="B310:H310"/>
    <mergeCell ref="I310:J310"/>
    <mergeCell ref="K310:L310"/>
    <mergeCell ref="E243:F243"/>
    <mergeCell ref="B306:H306"/>
    <mergeCell ref="I306:J306"/>
    <mergeCell ref="K306:L306"/>
    <mergeCell ref="B307:H307"/>
    <mergeCell ref="I307:J307"/>
    <mergeCell ref="K307:L307"/>
    <mergeCell ref="B308:H308"/>
    <mergeCell ref="I308:J308"/>
    <mergeCell ref="K308:L308"/>
    <mergeCell ref="B289:H289"/>
    <mergeCell ref="B290:H290"/>
    <mergeCell ref="B291:H291"/>
    <mergeCell ref="B292:H292"/>
    <mergeCell ref="B293:H293"/>
    <mergeCell ref="B298:L298"/>
    <mergeCell ref="B299:L299"/>
    <mergeCell ref="B305:H305"/>
  </mergeCells>
  <phoneticPr fontId="43" type="noConversion"/>
  <conditionalFormatting sqref="A55:XFD58">
    <cfRule type="expression" dxfId="11" priority="4">
      <formula>$F$54="NVT"</formula>
    </cfRule>
  </conditionalFormatting>
  <conditionalFormatting sqref="A60:XFD81">
    <cfRule type="expression" priority="1">
      <formula>$F$58&lt;&gt;"NIET VEREIST"</formula>
    </cfRule>
    <cfRule type="expression" dxfId="10" priority="2">
      <formula>$F$58="NIET VEREIST"</formula>
    </cfRule>
  </conditionalFormatting>
  <conditionalFormatting sqref="B58:G58">
    <cfRule type="expression" dxfId="9" priority="5">
      <formula>$F$58&lt;&gt;"VEREIST EN NIET OK"</formula>
    </cfRule>
    <cfRule type="expression" dxfId="8" priority="6">
      <formula>$F$58="VEREIST EN NIET OK"</formula>
    </cfRule>
  </conditionalFormatting>
  <conditionalFormatting sqref="B81:G81 I81 K81:N81">
    <cfRule type="expression" dxfId="7" priority="11">
      <formula>$F$80="JA"</formula>
    </cfRule>
    <cfRule type="expression" dxfId="6" priority="12">
      <formula>($F$80)="NEEN"</formula>
    </cfRule>
  </conditionalFormatting>
  <conditionalFormatting sqref="E50">
    <cfRule type="expression" dxfId="5" priority="3">
      <formula>$F$54&lt;&gt;"NVT"</formula>
    </cfRule>
  </conditionalFormatting>
  <conditionalFormatting sqref="F188">
    <cfRule type="cellIs" dxfId="4" priority="36" operator="greaterThan">
      <formula>$F$236</formula>
    </cfRule>
  </conditionalFormatting>
  <conditionalFormatting sqref="H220:H238">
    <cfRule type="cellIs" dxfId="3" priority="35" operator="greaterThan">
      <formula>$E$300</formula>
    </cfRule>
  </conditionalFormatting>
  <dataValidations count="1">
    <dataValidation type="list" allowBlank="1" showInputMessage="1" showErrorMessage="1" sqref="F83" xr:uid="{D963ED69-D366-49B9-9403-0156F68A3E68}">
      <formula1>#REF!</formula1>
    </dataValidation>
  </dataValidations>
  <hyperlinks>
    <hyperlink ref="B2" location="generiek" display="Klik hier indien terug naar generieke input" xr:uid="{B952130D-A42D-4225-99EF-3C1E085027F9}"/>
  </hyperlinks>
  <pageMargins left="0.70866141732283472" right="0.70866141732283472" top="0.98425196850393704" bottom="0.98425196850393704" header="0.31496062992125984" footer="0.31496062992125984"/>
  <pageSetup scale="45" orientation="portrait" r:id="rId1"/>
  <headerFooter>
    <oddHeader>&amp;L&amp;G&amp;R&amp;"-,Bold"&amp;K03+000/&amp;"-,Regular"&amp;K01+000 &amp;"-,Bold"&amp;K03+000cijfergegevens</oddHeader>
    <oddFooter>&amp;L&amp;G&amp;R&amp;"-,Bold"&amp;K03+000www.zorg-en-gezondheid.be</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E2B52D88-9E6F-4A6D-A3BB-CBA6095E0CDF}">
          <x14:formula1>
            <xm:f>'Parameters+keuzes'!$P$9:$P$11</xm:f>
          </x14:formula1>
          <xm:sqref>F81:G81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F71B6-DA0F-4B7E-9AED-4C2F1F84029E}">
  <sheetPr codeName="Blad18">
    <tabColor rgb="FF92D050"/>
  </sheetPr>
  <dimension ref="A1:J253"/>
  <sheetViews>
    <sheetView topLeftCell="A35" workbookViewId="0">
      <selection activeCell="J55" sqref="J55"/>
    </sheetView>
  </sheetViews>
  <sheetFormatPr defaultRowHeight="14.4" x14ac:dyDescent="0.3"/>
  <cols>
    <col min="1" max="1" width="31.6640625" bestFit="1" customWidth="1"/>
    <col min="2" max="2" width="27.33203125" customWidth="1"/>
    <col min="3" max="4" width="21.88671875" customWidth="1"/>
    <col min="5" max="5" width="24.6640625" customWidth="1"/>
    <col min="6" max="6" width="20" customWidth="1"/>
    <col min="7" max="7" width="12.33203125" bestFit="1" customWidth="1"/>
    <col min="8" max="8" width="13.88671875" style="39" bestFit="1" customWidth="1"/>
    <col min="10" max="10" width="21.109375" bestFit="1" customWidth="1"/>
  </cols>
  <sheetData>
    <row r="1" spans="1:10" x14ac:dyDescent="0.3">
      <c r="A1" s="1094" t="s">
        <v>1806</v>
      </c>
      <c r="B1" s="630"/>
      <c r="C1" s="630"/>
      <c r="D1" s="630"/>
      <c r="E1" s="630"/>
      <c r="F1" s="630"/>
      <c r="G1" s="630"/>
      <c r="H1" s="630"/>
      <c r="I1" s="630"/>
      <c r="J1" s="630"/>
    </row>
    <row r="2" spans="1:10" x14ac:dyDescent="0.3">
      <c r="A2" s="632"/>
      <c r="B2" s="633"/>
      <c r="C2" s="633"/>
      <c r="D2" s="633"/>
      <c r="E2" s="633"/>
      <c r="F2" s="633"/>
      <c r="G2" s="633"/>
      <c r="H2" s="633"/>
      <c r="I2" s="633"/>
      <c r="J2" s="633"/>
    </row>
    <row r="3" spans="1:10" ht="41.4" customHeight="1" thickBot="1" x14ac:dyDescent="0.35">
      <c r="A3" s="635"/>
      <c r="B3" s="636"/>
      <c r="C3" s="636"/>
      <c r="D3" s="636"/>
      <c r="E3" s="636"/>
      <c r="F3" s="636"/>
      <c r="G3" s="636"/>
      <c r="H3" s="636"/>
      <c r="I3" s="636"/>
      <c r="J3" s="636"/>
    </row>
    <row r="4" spans="1:10" x14ac:dyDescent="0.3">
      <c r="A4" s="183"/>
      <c r="B4" s="183"/>
      <c r="C4" s="183"/>
      <c r="D4" s="183"/>
      <c r="E4" s="183"/>
      <c r="F4" s="183"/>
      <c r="G4" s="183"/>
      <c r="H4" s="183"/>
      <c r="I4" s="183"/>
      <c r="J4" s="183"/>
    </row>
    <row r="5" spans="1:10" ht="21" x14ac:dyDescent="0.3">
      <c r="A5" s="1095" t="s">
        <v>1783</v>
      </c>
      <c r="B5" s="1096"/>
      <c r="C5" s="1096"/>
      <c r="D5" s="1093"/>
      <c r="E5" s="1093"/>
      <c r="F5" s="183"/>
      <c r="G5" s="183"/>
      <c r="H5" s="183"/>
      <c r="I5" s="183"/>
      <c r="J5" s="183"/>
    </row>
    <row r="6" spans="1:10" ht="32.4" customHeight="1" x14ac:dyDescent="0.3">
      <c r="A6" s="633" t="s">
        <v>1846</v>
      </c>
      <c r="B6" s="1093"/>
      <c r="C6" s="1093"/>
      <c r="D6" s="1093"/>
      <c r="E6" s="183"/>
      <c r="F6" s="183"/>
      <c r="G6" s="183"/>
      <c r="H6" s="183"/>
      <c r="I6" s="183"/>
      <c r="J6" s="183"/>
    </row>
    <row r="7" spans="1:10" ht="15" thickBot="1" x14ac:dyDescent="0.35">
      <c r="A7" t="s">
        <v>33</v>
      </c>
      <c r="B7" t="s">
        <v>33</v>
      </c>
      <c r="C7" s="183"/>
      <c r="D7" s="183"/>
      <c r="E7" s="183"/>
      <c r="F7" s="183"/>
      <c r="G7" s="183"/>
      <c r="H7" s="183"/>
      <c r="I7" s="183"/>
      <c r="J7" s="183"/>
    </row>
    <row r="8" spans="1:10" ht="15" thickBot="1" x14ac:dyDescent="0.35">
      <c r="A8" s="184" t="s">
        <v>1270</v>
      </c>
      <c r="B8" s="438" t="s">
        <v>1148</v>
      </c>
      <c r="C8" s="183"/>
      <c r="D8" s="183"/>
      <c r="E8" s="183"/>
      <c r="F8" s="183"/>
      <c r="G8" s="183"/>
      <c r="H8" s="183"/>
      <c r="I8" s="183"/>
      <c r="J8" s="183"/>
    </row>
    <row r="9" spans="1:10" x14ac:dyDescent="0.3">
      <c r="A9" s="471" t="s">
        <v>1132</v>
      </c>
      <c r="B9" s="471">
        <v>25</v>
      </c>
      <c r="C9" s="183"/>
      <c r="D9" s="183"/>
      <c r="E9" s="183"/>
      <c r="F9" s="183"/>
      <c r="G9" s="183"/>
      <c r="H9" s="183"/>
      <c r="I9" s="183"/>
      <c r="J9" s="183"/>
    </row>
    <row r="10" spans="1:10" x14ac:dyDescent="0.3">
      <c r="A10" s="471" t="s">
        <v>1278</v>
      </c>
      <c r="B10" s="471">
        <v>10</v>
      </c>
      <c r="C10" s="183"/>
      <c r="D10" s="183"/>
      <c r="E10" s="183"/>
      <c r="F10" s="183"/>
      <c r="G10" s="183"/>
      <c r="H10" s="183"/>
      <c r="I10" s="183"/>
      <c r="J10" s="183"/>
    </row>
    <row r="11" spans="1:10" x14ac:dyDescent="0.3">
      <c r="A11" s="471" t="s">
        <v>1281</v>
      </c>
      <c r="B11" s="471">
        <v>3</v>
      </c>
      <c r="C11" s="183"/>
      <c r="D11" s="183"/>
      <c r="E11" s="183"/>
      <c r="F11" s="183"/>
      <c r="G11" s="183"/>
      <c r="H11" s="183"/>
      <c r="I11" s="183"/>
      <c r="J11" s="183"/>
    </row>
    <row r="12" spans="1:10" x14ac:dyDescent="0.3">
      <c r="A12" s="471" t="s">
        <v>1284</v>
      </c>
      <c r="B12" s="471">
        <v>5</v>
      </c>
      <c r="C12" s="183"/>
      <c r="D12" s="183"/>
      <c r="E12" s="183"/>
      <c r="F12" s="183"/>
      <c r="G12" s="183"/>
      <c r="H12" s="183"/>
      <c r="I12" s="183"/>
      <c r="J12" s="183"/>
    </row>
    <row r="13" spans="1:10" x14ac:dyDescent="0.3">
      <c r="A13" s="471" t="s">
        <v>1287</v>
      </c>
      <c r="B13" s="471">
        <v>10</v>
      </c>
      <c r="C13" s="183"/>
      <c r="D13" s="183"/>
      <c r="E13" s="183"/>
      <c r="F13" s="183"/>
      <c r="G13" s="183"/>
      <c r="H13" s="183"/>
      <c r="I13" s="183"/>
      <c r="J13" s="183"/>
    </row>
    <row r="14" spans="1:10" x14ac:dyDescent="0.3">
      <c r="A14" s="471" t="s">
        <v>1291</v>
      </c>
      <c r="B14" s="471">
        <v>5</v>
      </c>
      <c r="C14" s="183"/>
      <c r="D14" s="183"/>
      <c r="E14" s="183"/>
      <c r="F14" s="183"/>
      <c r="G14" s="183"/>
      <c r="H14" s="183"/>
      <c r="I14" s="183"/>
      <c r="J14" s="183"/>
    </row>
    <row r="15" spans="1:10" x14ac:dyDescent="0.3">
      <c r="A15" s="471" t="s">
        <v>1295</v>
      </c>
      <c r="B15" s="471">
        <v>20</v>
      </c>
      <c r="C15" s="183"/>
      <c r="D15" s="183"/>
      <c r="E15" s="183"/>
      <c r="F15" s="183"/>
      <c r="G15" s="183"/>
      <c r="H15" s="183"/>
      <c r="I15" s="183"/>
      <c r="J15" s="183"/>
    </row>
    <row r="16" spans="1:10" x14ac:dyDescent="0.3">
      <c r="A16" s="471" t="s">
        <v>1299</v>
      </c>
      <c r="B16" s="471"/>
      <c r="C16" s="183"/>
      <c r="D16" s="183"/>
      <c r="E16" s="183"/>
      <c r="F16" s="183"/>
      <c r="G16" s="183"/>
      <c r="H16" s="183"/>
      <c r="I16" s="183"/>
      <c r="J16" s="183"/>
    </row>
    <row r="17" spans="1:10" x14ac:dyDescent="0.3">
      <c r="A17" s="471" t="s">
        <v>1302</v>
      </c>
      <c r="B17" s="471"/>
      <c r="C17" s="183"/>
      <c r="D17" s="183"/>
      <c r="E17" s="183"/>
      <c r="F17" s="183"/>
      <c r="G17" s="183"/>
      <c r="H17" s="183"/>
      <c r="I17" s="183"/>
      <c r="J17" s="183"/>
    </row>
    <row r="18" spans="1:10" x14ac:dyDescent="0.3">
      <c r="A18" s="471" t="s">
        <v>1304</v>
      </c>
      <c r="B18" s="471"/>
      <c r="C18" s="183"/>
      <c r="D18" s="183"/>
      <c r="E18" s="183"/>
      <c r="F18" s="183"/>
      <c r="G18" s="183"/>
      <c r="H18" s="183"/>
      <c r="I18" s="183"/>
      <c r="J18" s="183"/>
    </row>
    <row r="19" spans="1:10" x14ac:dyDescent="0.3">
      <c r="A19" s="471" t="s">
        <v>1307</v>
      </c>
      <c r="B19" s="471"/>
      <c r="C19" s="183"/>
      <c r="D19" s="183"/>
      <c r="E19" s="183"/>
      <c r="F19" s="183"/>
      <c r="G19" s="183"/>
      <c r="H19" s="183"/>
      <c r="I19" s="183"/>
      <c r="J19" s="183"/>
    </row>
    <row r="20" spans="1:10" x14ac:dyDescent="0.3">
      <c r="A20" s="471" t="s">
        <v>1310</v>
      </c>
      <c r="B20" s="471"/>
      <c r="C20" s="183"/>
      <c r="D20" s="183"/>
      <c r="E20" s="183"/>
      <c r="F20" s="183"/>
      <c r="G20" s="183"/>
      <c r="H20" s="183"/>
      <c r="I20" s="183"/>
      <c r="J20" s="183"/>
    </row>
    <row r="21" spans="1:10" x14ac:dyDescent="0.3">
      <c r="A21" s="471" t="s">
        <v>1784</v>
      </c>
      <c r="B21" s="471"/>
      <c r="C21" s="183"/>
      <c r="D21" s="183"/>
      <c r="E21" s="183"/>
      <c r="F21" s="183"/>
      <c r="G21" s="183"/>
      <c r="H21" s="183"/>
      <c r="I21" s="183"/>
      <c r="J21" s="183"/>
    </row>
    <row r="22" spans="1:10" x14ac:dyDescent="0.3">
      <c r="A22" s="471" t="s">
        <v>1785</v>
      </c>
      <c r="B22" s="471"/>
      <c r="C22" s="183"/>
      <c r="D22" s="183"/>
      <c r="E22" s="183"/>
      <c r="F22" s="183"/>
      <c r="G22" s="183"/>
      <c r="H22" s="183"/>
      <c r="I22" s="183"/>
      <c r="J22" s="183"/>
    </row>
    <row r="23" spans="1:10" x14ac:dyDescent="0.3">
      <c r="A23" s="471" t="s">
        <v>1786</v>
      </c>
      <c r="B23" s="471"/>
      <c r="C23" s="183"/>
      <c r="D23" s="183"/>
      <c r="E23" s="183"/>
      <c r="F23" s="183"/>
      <c r="G23" s="183"/>
      <c r="H23" s="183"/>
      <c r="I23" s="183"/>
      <c r="J23" s="183"/>
    </row>
    <row r="24" spans="1:10" ht="15" thickBot="1" x14ac:dyDescent="0.35">
      <c r="A24" s="471" t="s">
        <v>1787</v>
      </c>
      <c r="B24" s="472"/>
      <c r="C24" s="183"/>
      <c r="D24" s="183"/>
      <c r="E24" s="183"/>
      <c r="F24" s="183"/>
      <c r="G24" s="183"/>
      <c r="H24" s="183"/>
      <c r="I24" s="183"/>
      <c r="J24" s="183"/>
    </row>
    <row r="25" spans="1:10" x14ac:dyDescent="0.3">
      <c r="A25" s="183"/>
      <c r="B25" s="183"/>
      <c r="C25" s="183"/>
      <c r="D25" s="183"/>
      <c r="E25" s="183"/>
      <c r="F25" s="183"/>
      <c r="G25" s="183"/>
      <c r="H25" s="183"/>
      <c r="I25" s="183"/>
      <c r="J25" s="183"/>
    </row>
    <row r="26" spans="1:10" ht="24.6" customHeight="1" x14ac:dyDescent="0.3">
      <c r="A26" s="1095" t="s">
        <v>1788</v>
      </c>
      <c r="B26" s="1096"/>
      <c r="C26" s="1096"/>
      <c r="D26" s="183"/>
      <c r="E26" s="183"/>
      <c r="F26" s="183"/>
      <c r="G26" s="183"/>
      <c r="H26" s="183"/>
      <c r="I26" s="183"/>
      <c r="J26" s="183"/>
    </row>
    <row r="27" spans="1:10" x14ac:dyDescent="0.3">
      <c r="A27" s="183"/>
      <c r="B27" s="183"/>
      <c r="C27" s="183"/>
      <c r="D27" s="183"/>
      <c r="E27" s="183"/>
      <c r="F27" s="183"/>
      <c r="G27" s="183"/>
      <c r="H27" s="183"/>
      <c r="I27" s="183"/>
      <c r="J27" s="183"/>
    </row>
    <row r="28" spans="1:10" x14ac:dyDescent="0.3">
      <c r="A28" s="437" t="s">
        <v>1789</v>
      </c>
      <c r="B28" s="183"/>
      <c r="C28" s="183"/>
      <c r="D28" s="183"/>
      <c r="E28" s="183"/>
      <c r="F28" s="183"/>
      <c r="G28" s="183"/>
      <c r="H28" s="183"/>
      <c r="I28" s="183"/>
      <c r="J28" s="183"/>
    </row>
    <row r="29" spans="1:10" ht="14.4" customHeight="1" x14ac:dyDescent="0.3">
      <c r="A29" s="183"/>
      <c r="B29" s="437" t="s">
        <v>1790</v>
      </c>
      <c r="C29" s="1100" t="s">
        <v>1801</v>
      </c>
      <c r="D29" s="1093"/>
      <c r="E29" s="1093"/>
      <c r="F29" s="1093"/>
      <c r="G29" s="1093"/>
      <c r="H29" s="1093"/>
      <c r="I29" s="1093"/>
      <c r="J29" s="1093"/>
    </row>
    <row r="30" spans="1:10" ht="14.4" customHeight="1" x14ac:dyDescent="0.3">
      <c r="A30" s="183"/>
      <c r="B30" s="437" t="s">
        <v>1791</v>
      </c>
      <c r="C30" s="1100" t="s">
        <v>1792</v>
      </c>
      <c r="D30" s="1093"/>
      <c r="E30" s="437"/>
      <c r="F30" s="183"/>
      <c r="G30" s="183"/>
      <c r="H30" s="183"/>
      <c r="I30" s="183"/>
      <c r="J30" s="183"/>
    </row>
    <row r="31" spans="1:10" x14ac:dyDescent="0.3">
      <c r="A31" s="183"/>
      <c r="B31" s="437" t="s">
        <v>1793</v>
      </c>
      <c r="C31" s="1100" t="s">
        <v>1794</v>
      </c>
      <c r="D31" s="1093"/>
      <c r="E31" s="1093"/>
      <c r="F31" s="1093"/>
      <c r="G31" s="1093"/>
      <c r="H31" s="183"/>
      <c r="I31" s="183"/>
      <c r="J31" s="183"/>
    </row>
    <row r="32" spans="1:10" x14ac:dyDescent="0.3">
      <c r="A32" s="183"/>
      <c r="B32" s="437" t="s">
        <v>1795</v>
      </c>
      <c r="C32" s="437" t="s">
        <v>1796</v>
      </c>
      <c r="D32" s="436"/>
      <c r="E32" s="437"/>
      <c r="F32" s="183"/>
      <c r="G32" s="183"/>
      <c r="H32" s="183"/>
      <c r="I32" s="183"/>
      <c r="J32" s="183"/>
    </row>
    <row r="33" spans="1:10" x14ac:dyDescent="0.3">
      <c r="A33" s="183"/>
      <c r="B33" s="437" t="s">
        <v>1798</v>
      </c>
      <c r="C33" s="437" t="s">
        <v>1797</v>
      </c>
      <c r="D33" s="436"/>
      <c r="E33" s="437"/>
      <c r="F33" s="183"/>
      <c r="G33" s="183"/>
      <c r="H33" s="183"/>
      <c r="I33" s="183"/>
      <c r="J33" s="183"/>
    </row>
    <row r="34" spans="1:10" x14ac:dyDescent="0.3">
      <c r="A34" s="183"/>
      <c r="B34" s="437" t="s">
        <v>1799</v>
      </c>
      <c r="C34" s="1100" t="s">
        <v>1800</v>
      </c>
      <c r="D34" s="1093"/>
      <c r="E34" s="1093"/>
      <c r="F34" s="1093"/>
      <c r="G34" s="1093"/>
      <c r="H34" s="183"/>
      <c r="I34" s="183"/>
      <c r="J34" s="183"/>
    </row>
    <row r="35" spans="1:10" x14ac:dyDescent="0.3">
      <c r="A35" s="183"/>
      <c r="B35" s="437"/>
      <c r="C35" s="437"/>
      <c r="D35" s="436"/>
      <c r="E35" s="436"/>
      <c r="F35" s="436"/>
      <c r="G35" s="436"/>
      <c r="H35" s="183"/>
      <c r="I35" s="183"/>
      <c r="J35" s="183"/>
    </row>
    <row r="36" spans="1:10" x14ac:dyDescent="0.3">
      <c r="A36" s="633" t="s">
        <v>1839</v>
      </c>
      <c r="B36" s="1093"/>
      <c r="C36" s="1093"/>
      <c r="D36" s="1093"/>
      <c r="E36" s="1093"/>
      <c r="F36" s="1093"/>
      <c r="G36" s="1093"/>
      <c r="H36" s="183"/>
      <c r="I36" s="183"/>
      <c r="J36" s="183"/>
    </row>
    <row r="37" spans="1:10" ht="35.549999999999997" customHeight="1" x14ac:dyDescent="0.3">
      <c r="A37" s="633" t="s">
        <v>1845</v>
      </c>
      <c r="B37" s="1093"/>
      <c r="C37" s="1093"/>
      <c r="D37" s="1093"/>
      <c r="E37" s="183"/>
      <c r="F37" s="183"/>
      <c r="G37" s="183"/>
      <c r="H37" s="183"/>
      <c r="I37" s="183"/>
      <c r="J37" s="183"/>
    </row>
    <row r="38" spans="1:10" x14ac:dyDescent="0.3">
      <c r="A38" s="186" t="s">
        <v>1260</v>
      </c>
      <c r="B38" s="188" t="s">
        <v>1261</v>
      </c>
      <c r="C38" s="183"/>
      <c r="D38" s="183"/>
      <c r="E38" s="183"/>
      <c r="F38" s="183"/>
      <c r="G38" s="183"/>
      <c r="H38" s="183"/>
      <c r="I38" s="183"/>
      <c r="J38" s="183"/>
    </row>
    <row r="39" spans="1:10" x14ac:dyDescent="0.3">
      <c r="A39" s="170" t="s">
        <v>1262</v>
      </c>
    </row>
    <row r="40" spans="1:10" x14ac:dyDescent="0.3">
      <c r="A40" s="170"/>
      <c r="G40" s="39"/>
      <c r="H40"/>
    </row>
    <row r="41" spans="1:10" x14ac:dyDescent="0.3">
      <c r="A41" t="s">
        <v>33</v>
      </c>
      <c r="B41" t="s">
        <v>33</v>
      </c>
      <c r="C41" t="s">
        <v>33</v>
      </c>
      <c r="D41" t="s">
        <v>33</v>
      </c>
      <c r="E41" t="s">
        <v>33</v>
      </c>
      <c r="F41" t="s">
        <v>33</v>
      </c>
      <c r="G41" s="39" t="s">
        <v>1156</v>
      </c>
      <c r="H41"/>
    </row>
    <row r="42" spans="1:10" ht="25.8" customHeight="1" x14ac:dyDescent="0.3">
      <c r="A42" s="467" t="s">
        <v>1264</v>
      </c>
      <c r="B42" s="467" t="s">
        <v>1265</v>
      </c>
      <c r="C42" s="467" t="s">
        <v>1266</v>
      </c>
      <c r="D42" s="467" t="s">
        <v>1267</v>
      </c>
      <c r="E42" s="467" t="s">
        <v>1808</v>
      </c>
      <c r="F42" s="467" t="s">
        <v>1268</v>
      </c>
      <c r="G42" s="468" t="s">
        <v>1269</v>
      </c>
      <c r="H42"/>
    </row>
    <row r="43" spans="1:10" x14ac:dyDescent="0.3">
      <c r="A43" s="473" t="s">
        <v>1132</v>
      </c>
      <c r="B43" s="474" t="s">
        <v>1272</v>
      </c>
      <c r="C43" s="474" t="s">
        <v>1273</v>
      </c>
      <c r="D43" s="474" t="s">
        <v>1274</v>
      </c>
      <c r="E43" s="475"/>
      <c r="F43" s="476">
        <v>1</v>
      </c>
      <c r="G43" s="187">
        <f>F43*E43</f>
        <v>0</v>
      </c>
      <c r="H43"/>
    </row>
    <row r="44" spans="1:10" x14ac:dyDescent="0.3">
      <c r="A44" s="473" t="s">
        <v>1132</v>
      </c>
      <c r="B44" s="474" t="s">
        <v>1275</v>
      </c>
      <c r="C44" s="474" t="s">
        <v>1276</v>
      </c>
      <c r="D44" s="474" t="s">
        <v>1277</v>
      </c>
      <c r="E44" s="475"/>
      <c r="F44" s="476">
        <v>1</v>
      </c>
      <c r="G44" s="187">
        <f t="shared" ref="G44:G197" si="0">F44*E44</f>
        <v>0</v>
      </c>
      <c r="H44"/>
    </row>
    <row r="45" spans="1:10" x14ac:dyDescent="0.3">
      <c r="A45" s="473" t="s">
        <v>1132</v>
      </c>
      <c r="B45" s="474" t="s">
        <v>1279</v>
      </c>
      <c r="C45" s="474" t="s">
        <v>1276</v>
      </c>
      <c r="D45" s="474" t="s">
        <v>1280</v>
      </c>
      <c r="E45" s="475"/>
      <c r="F45" s="476">
        <v>1</v>
      </c>
      <c r="G45" s="187">
        <f t="shared" si="0"/>
        <v>0</v>
      </c>
      <c r="H45"/>
    </row>
    <row r="46" spans="1:10" x14ac:dyDescent="0.3">
      <c r="A46" s="473" t="s">
        <v>1132</v>
      </c>
      <c r="B46" s="474" t="s">
        <v>1282</v>
      </c>
      <c r="C46" s="474" t="s">
        <v>1276</v>
      </c>
      <c r="D46" s="474" t="s">
        <v>1283</v>
      </c>
      <c r="E46" s="475"/>
      <c r="F46" s="476">
        <v>1</v>
      </c>
      <c r="G46" s="187">
        <f t="shared" si="0"/>
        <v>0</v>
      </c>
      <c r="H46"/>
    </row>
    <row r="47" spans="1:10" x14ac:dyDescent="0.3">
      <c r="A47" s="473" t="s">
        <v>1132</v>
      </c>
      <c r="B47" s="474" t="s">
        <v>1285</v>
      </c>
      <c r="C47" s="474" t="s">
        <v>1276</v>
      </c>
      <c r="D47" s="474" t="s">
        <v>1286</v>
      </c>
      <c r="E47" s="475"/>
      <c r="F47" s="476">
        <v>1</v>
      </c>
      <c r="G47" s="187">
        <f t="shared" si="0"/>
        <v>0</v>
      </c>
      <c r="H47"/>
    </row>
    <row r="48" spans="1:10" x14ac:dyDescent="0.3">
      <c r="A48" s="473" t="s">
        <v>1132</v>
      </c>
      <c r="B48" s="474" t="s">
        <v>1288</v>
      </c>
      <c r="C48" s="474" t="s">
        <v>1289</v>
      </c>
      <c r="D48" s="474" t="s">
        <v>1290</v>
      </c>
      <c r="E48" s="475"/>
      <c r="F48" s="476">
        <v>1</v>
      </c>
      <c r="G48" s="187">
        <f t="shared" si="0"/>
        <v>0</v>
      </c>
      <c r="H48"/>
    </row>
    <row r="49" spans="1:8" x14ac:dyDescent="0.3">
      <c r="A49" s="473" t="s">
        <v>1278</v>
      </c>
      <c r="B49" s="474" t="s">
        <v>1292</v>
      </c>
      <c r="C49" s="474" t="s">
        <v>1293</v>
      </c>
      <c r="D49" s="474" t="s">
        <v>1294</v>
      </c>
      <c r="E49" s="475"/>
      <c r="F49" s="476">
        <v>1</v>
      </c>
      <c r="G49" s="187">
        <f t="shared" si="0"/>
        <v>0</v>
      </c>
      <c r="H49"/>
    </row>
    <row r="50" spans="1:8" x14ac:dyDescent="0.3">
      <c r="A50" s="473" t="s">
        <v>1278</v>
      </c>
      <c r="B50" s="474" t="s">
        <v>1296</v>
      </c>
      <c r="C50" s="474" t="s">
        <v>1297</v>
      </c>
      <c r="D50" s="474" t="s">
        <v>1298</v>
      </c>
      <c r="E50" s="475"/>
      <c r="F50" s="476">
        <v>1</v>
      </c>
      <c r="G50" s="187">
        <f t="shared" si="0"/>
        <v>0</v>
      </c>
      <c r="H50"/>
    </row>
    <row r="51" spans="1:8" x14ac:dyDescent="0.3">
      <c r="A51" s="473" t="s">
        <v>1281</v>
      </c>
      <c r="B51" s="474" t="s">
        <v>1300</v>
      </c>
      <c r="C51" s="474" t="s">
        <v>1297</v>
      </c>
      <c r="D51" s="474" t="s">
        <v>1301</v>
      </c>
      <c r="E51" s="475"/>
      <c r="F51" s="476">
        <v>1</v>
      </c>
      <c r="G51" s="187">
        <f t="shared" si="0"/>
        <v>0</v>
      </c>
      <c r="H51"/>
    </row>
    <row r="52" spans="1:8" ht="13.95" x14ac:dyDescent="0.3">
      <c r="A52" s="473" t="s">
        <v>1284</v>
      </c>
      <c r="B52" s="474" t="s">
        <v>1284</v>
      </c>
      <c r="C52" s="474" t="s">
        <v>1293</v>
      </c>
      <c r="D52" s="474" t="s">
        <v>1303</v>
      </c>
      <c r="E52" s="475"/>
      <c r="F52" s="476">
        <v>1</v>
      </c>
      <c r="G52" s="187">
        <f t="shared" si="0"/>
        <v>0</v>
      </c>
      <c r="H52"/>
    </row>
    <row r="53" spans="1:8" ht="13.95" x14ac:dyDescent="0.3">
      <c r="A53" s="473" t="s">
        <v>1287</v>
      </c>
      <c r="B53" s="474" t="s">
        <v>1305</v>
      </c>
      <c r="C53" s="474" t="s">
        <v>1293</v>
      </c>
      <c r="D53" s="474" t="s">
        <v>1306</v>
      </c>
      <c r="E53" s="475"/>
      <c r="F53" s="476">
        <v>1</v>
      </c>
      <c r="G53" s="187">
        <f t="shared" si="0"/>
        <v>0</v>
      </c>
      <c r="H53"/>
    </row>
    <row r="54" spans="1:8" ht="13.95" x14ac:dyDescent="0.3">
      <c r="A54" s="473" t="s">
        <v>1291</v>
      </c>
      <c r="B54" s="474" t="s">
        <v>1308</v>
      </c>
      <c r="C54" s="474" t="s">
        <v>1293</v>
      </c>
      <c r="D54" s="474" t="s">
        <v>1309</v>
      </c>
      <c r="E54" s="475"/>
      <c r="F54" s="476">
        <v>1</v>
      </c>
      <c r="G54" s="187">
        <f t="shared" si="0"/>
        <v>0</v>
      </c>
      <c r="H54"/>
    </row>
    <row r="55" spans="1:8" ht="13.95" x14ac:dyDescent="0.3">
      <c r="A55" s="473" t="s">
        <v>1295</v>
      </c>
      <c r="B55" s="474" t="s">
        <v>1566</v>
      </c>
      <c r="C55" s="474" t="s">
        <v>1293</v>
      </c>
      <c r="D55" s="474" t="s">
        <v>1567</v>
      </c>
      <c r="E55" s="475"/>
      <c r="F55" s="476">
        <v>1</v>
      </c>
      <c r="G55" s="187">
        <f t="shared" si="0"/>
        <v>0</v>
      </c>
      <c r="H55"/>
    </row>
    <row r="56" spans="1:8" ht="13.95" x14ac:dyDescent="0.3">
      <c r="A56" s="473" t="s">
        <v>1311</v>
      </c>
      <c r="B56" s="474"/>
      <c r="C56" s="474"/>
      <c r="D56" s="474"/>
      <c r="E56" s="475"/>
      <c r="F56" s="476">
        <v>1</v>
      </c>
      <c r="G56" s="187">
        <f t="shared" si="0"/>
        <v>0</v>
      </c>
      <c r="H56"/>
    </row>
    <row r="57" spans="1:8" ht="13.95" x14ac:dyDescent="0.3">
      <c r="A57" s="473" t="s">
        <v>1311</v>
      </c>
      <c r="B57" s="474"/>
      <c r="C57" s="474"/>
      <c r="D57" s="474"/>
      <c r="E57" s="475"/>
      <c r="F57" s="476">
        <v>1</v>
      </c>
      <c r="G57" s="187">
        <f t="shared" si="0"/>
        <v>0</v>
      </c>
      <c r="H57"/>
    </row>
    <row r="58" spans="1:8" ht="13.95" x14ac:dyDescent="0.3">
      <c r="A58" s="473" t="s">
        <v>1311</v>
      </c>
      <c r="B58" s="474"/>
      <c r="C58" s="474"/>
      <c r="D58" s="474"/>
      <c r="E58" s="475"/>
      <c r="F58" s="476">
        <v>1</v>
      </c>
      <c r="G58" s="187">
        <f t="shared" si="0"/>
        <v>0</v>
      </c>
      <c r="H58"/>
    </row>
    <row r="59" spans="1:8" x14ac:dyDescent="0.3">
      <c r="A59" s="473" t="s">
        <v>1311</v>
      </c>
      <c r="B59" s="474"/>
      <c r="C59" s="474"/>
      <c r="D59" s="474"/>
      <c r="E59" s="475"/>
      <c r="F59" s="476">
        <v>1</v>
      </c>
      <c r="G59" s="187">
        <f t="shared" si="0"/>
        <v>0</v>
      </c>
      <c r="H59"/>
    </row>
    <row r="60" spans="1:8" x14ac:dyDescent="0.3">
      <c r="A60" s="473" t="s">
        <v>1311</v>
      </c>
      <c r="B60" s="474"/>
      <c r="C60" s="474"/>
      <c r="D60" s="474"/>
      <c r="E60" s="475"/>
      <c r="F60" s="476">
        <v>1</v>
      </c>
      <c r="G60" s="187">
        <f t="shared" si="0"/>
        <v>0</v>
      </c>
      <c r="H60"/>
    </row>
    <row r="61" spans="1:8" x14ac:dyDescent="0.3">
      <c r="A61" s="473" t="s">
        <v>1311</v>
      </c>
      <c r="B61" s="474"/>
      <c r="C61" s="474"/>
      <c r="D61" s="474"/>
      <c r="E61" s="475"/>
      <c r="F61" s="476">
        <v>1</v>
      </c>
      <c r="G61" s="187">
        <f t="shared" si="0"/>
        <v>0</v>
      </c>
      <c r="H61"/>
    </row>
    <row r="62" spans="1:8" x14ac:dyDescent="0.3">
      <c r="A62" s="473" t="s">
        <v>1311</v>
      </c>
      <c r="B62" s="474"/>
      <c r="C62" s="474"/>
      <c r="D62" s="474"/>
      <c r="E62" s="475"/>
      <c r="F62" s="476">
        <v>1</v>
      </c>
      <c r="G62" s="187">
        <f t="shared" si="0"/>
        <v>0</v>
      </c>
      <c r="H62"/>
    </row>
    <row r="63" spans="1:8" x14ac:dyDescent="0.3">
      <c r="A63" s="473" t="s">
        <v>1311</v>
      </c>
      <c r="B63" s="474"/>
      <c r="C63" s="474"/>
      <c r="D63" s="474"/>
      <c r="E63" s="475"/>
      <c r="F63" s="476">
        <v>1</v>
      </c>
      <c r="G63" s="187">
        <f t="shared" si="0"/>
        <v>0</v>
      </c>
      <c r="H63"/>
    </row>
    <row r="64" spans="1:8" x14ac:dyDescent="0.3">
      <c r="A64" s="473" t="s">
        <v>1311</v>
      </c>
      <c r="B64" s="474"/>
      <c r="C64" s="474"/>
      <c r="D64" s="474"/>
      <c r="E64" s="475"/>
      <c r="F64" s="476">
        <v>1</v>
      </c>
      <c r="G64" s="187">
        <f t="shared" si="0"/>
        <v>0</v>
      </c>
      <c r="H64"/>
    </row>
    <row r="65" spans="1:8" x14ac:dyDescent="0.3">
      <c r="A65" s="473" t="s">
        <v>1311</v>
      </c>
      <c r="B65" s="474"/>
      <c r="C65" s="474"/>
      <c r="D65" s="474"/>
      <c r="E65" s="475"/>
      <c r="F65" s="476">
        <v>1</v>
      </c>
      <c r="G65" s="187">
        <f t="shared" si="0"/>
        <v>0</v>
      </c>
      <c r="H65"/>
    </row>
    <row r="66" spans="1:8" x14ac:dyDescent="0.3">
      <c r="A66" s="473" t="s">
        <v>1311</v>
      </c>
      <c r="B66" s="474"/>
      <c r="C66" s="474"/>
      <c r="D66" s="474"/>
      <c r="E66" s="475"/>
      <c r="F66" s="476">
        <v>1</v>
      </c>
      <c r="G66" s="187">
        <f t="shared" si="0"/>
        <v>0</v>
      </c>
      <c r="H66"/>
    </row>
    <row r="67" spans="1:8" x14ac:dyDescent="0.3">
      <c r="A67" s="473" t="s">
        <v>1311</v>
      </c>
      <c r="B67" s="474"/>
      <c r="C67" s="474"/>
      <c r="D67" s="474"/>
      <c r="E67" s="475"/>
      <c r="F67" s="476">
        <v>1</v>
      </c>
      <c r="G67" s="187">
        <f t="shared" si="0"/>
        <v>0</v>
      </c>
      <c r="H67"/>
    </row>
    <row r="68" spans="1:8" x14ac:dyDescent="0.3">
      <c r="A68" s="473" t="s">
        <v>1311</v>
      </c>
      <c r="B68" s="474"/>
      <c r="C68" s="474"/>
      <c r="D68" s="474"/>
      <c r="E68" s="475"/>
      <c r="F68" s="476">
        <v>1</v>
      </c>
      <c r="G68" s="187">
        <f t="shared" si="0"/>
        <v>0</v>
      </c>
      <c r="H68"/>
    </row>
    <row r="69" spans="1:8" x14ac:dyDescent="0.3">
      <c r="A69" s="473" t="s">
        <v>1311</v>
      </c>
      <c r="B69" s="474"/>
      <c r="C69" s="474"/>
      <c r="D69" s="474"/>
      <c r="E69" s="475"/>
      <c r="F69" s="476">
        <v>1</v>
      </c>
      <c r="G69" s="187">
        <f t="shared" si="0"/>
        <v>0</v>
      </c>
      <c r="H69"/>
    </row>
    <row r="70" spans="1:8" x14ac:dyDescent="0.3">
      <c r="A70" s="473" t="s">
        <v>1311</v>
      </c>
      <c r="B70" s="474"/>
      <c r="C70" s="474"/>
      <c r="D70" s="474"/>
      <c r="E70" s="475"/>
      <c r="F70" s="476">
        <v>1</v>
      </c>
      <c r="G70" s="187">
        <f t="shared" si="0"/>
        <v>0</v>
      </c>
      <c r="H70"/>
    </row>
    <row r="71" spans="1:8" x14ac:dyDescent="0.3">
      <c r="A71" s="473" t="s">
        <v>1311</v>
      </c>
      <c r="B71" s="474"/>
      <c r="C71" s="474"/>
      <c r="D71" s="474"/>
      <c r="E71" s="475"/>
      <c r="F71" s="476">
        <v>1</v>
      </c>
      <c r="G71" s="187">
        <f t="shared" si="0"/>
        <v>0</v>
      </c>
      <c r="H71"/>
    </row>
    <row r="72" spans="1:8" x14ac:dyDescent="0.3">
      <c r="A72" s="473" t="s">
        <v>1311</v>
      </c>
      <c r="B72" s="474"/>
      <c r="C72" s="474"/>
      <c r="D72" s="474"/>
      <c r="E72" s="475"/>
      <c r="F72" s="476">
        <v>1</v>
      </c>
      <c r="G72" s="187">
        <f t="shared" si="0"/>
        <v>0</v>
      </c>
      <c r="H72"/>
    </row>
    <row r="73" spans="1:8" x14ac:dyDescent="0.3">
      <c r="A73" s="473" t="s">
        <v>1311</v>
      </c>
      <c r="B73" s="474"/>
      <c r="C73" s="474"/>
      <c r="D73" s="474"/>
      <c r="E73" s="475"/>
      <c r="F73" s="476">
        <v>1</v>
      </c>
      <c r="G73" s="187">
        <f t="shared" si="0"/>
        <v>0</v>
      </c>
      <c r="H73"/>
    </row>
    <row r="74" spans="1:8" x14ac:dyDescent="0.3">
      <c r="A74" s="473" t="s">
        <v>1311</v>
      </c>
      <c r="B74" s="474"/>
      <c r="C74" s="474"/>
      <c r="D74" s="474"/>
      <c r="E74" s="475"/>
      <c r="F74" s="476">
        <v>1</v>
      </c>
      <c r="G74" s="187">
        <f t="shared" si="0"/>
        <v>0</v>
      </c>
      <c r="H74"/>
    </row>
    <row r="75" spans="1:8" x14ac:dyDescent="0.3">
      <c r="A75" s="473" t="s">
        <v>1311</v>
      </c>
      <c r="B75" s="474"/>
      <c r="C75" s="474"/>
      <c r="D75" s="474"/>
      <c r="E75" s="475"/>
      <c r="F75" s="476">
        <v>1</v>
      </c>
      <c r="G75" s="187">
        <f t="shared" si="0"/>
        <v>0</v>
      </c>
      <c r="H75"/>
    </row>
    <row r="76" spans="1:8" x14ac:dyDescent="0.3">
      <c r="A76" s="473" t="s">
        <v>1311</v>
      </c>
      <c r="B76" s="474"/>
      <c r="C76" s="474"/>
      <c r="D76" s="474"/>
      <c r="E76" s="475"/>
      <c r="F76" s="476">
        <v>1</v>
      </c>
      <c r="G76" s="187">
        <f t="shared" si="0"/>
        <v>0</v>
      </c>
      <c r="H76"/>
    </row>
    <row r="77" spans="1:8" x14ac:dyDescent="0.3">
      <c r="A77" s="473" t="s">
        <v>1311</v>
      </c>
      <c r="B77" s="474"/>
      <c r="C77" s="474"/>
      <c r="D77" s="474"/>
      <c r="E77" s="475"/>
      <c r="F77" s="476">
        <v>1</v>
      </c>
      <c r="G77" s="187">
        <f t="shared" si="0"/>
        <v>0</v>
      </c>
      <c r="H77"/>
    </row>
    <row r="78" spans="1:8" x14ac:dyDescent="0.3">
      <c r="A78" s="473" t="s">
        <v>1311</v>
      </c>
      <c r="B78" s="474"/>
      <c r="C78" s="474"/>
      <c r="D78" s="474"/>
      <c r="E78" s="475"/>
      <c r="F78" s="476">
        <v>1</v>
      </c>
      <c r="G78" s="187">
        <f t="shared" si="0"/>
        <v>0</v>
      </c>
      <c r="H78"/>
    </row>
    <row r="79" spans="1:8" x14ac:dyDescent="0.3">
      <c r="A79" s="473" t="s">
        <v>1311</v>
      </c>
      <c r="B79" s="474"/>
      <c r="C79" s="474"/>
      <c r="D79" s="474"/>
      <c r="E79" s="475"/>
      <c r="F79" s="476">
        <v>1</v>
      </c>
      <c r="G79" s="187">
        <f t="shared" si="0"/>
        <v>0</v>
      </c>
      <c r="H79"/>
    </row>
    <row r="80" spans="1:8" x14ac:dyDescent="0.3">
      <c r="A80" s="473" t="s">
        <v>1311</v>
      </c>
      <c r="B80" s="474"/>
      <c r="C80" s="474"/>
      <c r="D80" s="474"/>
      <c r="E80" s="475"/>
      <c r="F80" s="476">
        <v>1</v>
      </c>
      <c r="G80" s="187">
        <f t="shared" si="0"/>
        <v>0</v>
      </c>
      <c r="H80"/>
    </row>
    <row r="81" spans="1:8" x14ac:dyDescent="0.3">
      <c r="A81" s="473" t="s">
        <v>1311</v>
      </c>
      <c r="B81" s="474"/>
      <c r="C81" s="474"/>
      <c r="D81" s="474"/>
      <c r="E81" s="475"/>
      <c r="F81" s="476">
        <v>1</v>
      </c>
      <c r="G81" s="187">
        <f t="shared" si="0"/>
        <v>0</v>
      </c>
      <c r="H81"/>
    </row>
    <row r="82" spans="1:8" x14ac:dyDescent="0.3">
      <c r="A82" s="473" t="s">
        <v>1311</v>
      </c>
      <c r="B82" s="474"/>
      <c r="C82" s="474"/>
      <c r="D82" s="474"/>
      <c r="E82" s="475"/>
      <c r="F82" s="476">
        <v>1</v>
      </c>
      <c r="G82" s="187">
        <f t="shared" si="0"/>
        <v>0</v>
      </c>
      <c r="H82"/>
    </row>
    <row r="83" spans="1:8" x14ac:dyDescent="0.3">
      <c r="A83" s="473" t="s">
        <v>1311</v>
      </c>
      <c r="B83" s="474"/>
      <c r="C83" s="474"/>
      <c r="D83" s="474"/>
      <c r="E83" s="475"/>
      <c r="F83" s="476">
        <v>1</v>
      </c>
      <c r="G83" s="187">
        <f t="shared" si="0"/>
        <v>0</v>
      </c>
      <c r="H83"/>
    </row>
    <row r="84" spans="1:8" x14ac:dyDescent="0.3">
      <c r="A84" s="473" t="s">
        <v>1311</v>
      </c>
      <c r="B84" s="474"/>
      <c r="C84" s="474"/>
      <c r="D84" s="474"/>
      <c r="E84" s="475"/>
      <c r="F84" s="476">
        <v>1</v>
      </c>
      <c r="G84" s="187">
        <f t="shared" si="0"/>
        <v>0</v>
      </c>
      <c r="H84"/>
    </row>
    <row r="85" spans="1:8" x14ac:dyDescent="0.3">
      <c r="A85" s="473" t="s">
        <v>1311</v>
      </c>
      <c r="B85" s="474"/>
      <c r="C85" s="474"/>
      <c r="D85" s="474"/>
      <c r="E85" s="475"/>
      <c r="F85" s="476">
        <v>1</v>
      </c>
      <c r="G85" s="187">
        <f t="shared" si="0"/>
        <v>0</v>
      </c>
      <c r="H85"/>
    </row>
    <row r="86" spans="1:8" x14ac:dyDescent="0.3">
      <c r="A86" s="473" t="s">
        <v>1311</v>
      </c>
      <c r="B86" s="474"/>
      <c r="C86" s="474"/>
      <c r="D86" s="474"/>
      <c r="E86" s="475"/>
      <c r="F86" s="476">
        <v>1</v>
      </c>
      <c r="G86" s="187">
        <f t="shared" si="0"/>
        <v>0</v>
      </c>
      <c r="H86"/>
    </row>
    <row r="87" spans="1:8" x14ac:dyDescent="0.3">
      <c r="A87" s="473" t="s">
        <v>1311</v>
      </c>
      <c r="B87" s="474"/>
      <c r="C87" s="474"/>
      <c r="D87" s="474"/>
      <c r="E87" s="475"/>
      <c r="F87" s="476">
        <v>1</v>
      </c>
      <c r="G87" s="187">
        <f t="shared" si="0"/>
        <v>0</v>
      </c>
      <c r="H87"/>
    </row>
    <row r="88" spans="1:8" x14ac:dyDescent="0.3">
      <c r="A88" s="473" t="s">
        <v>1311</v>
      </c>
      <c r="B88" s="474"/>
      <c r="C88" s="474"/>
      <c r="D88" s="474"/>
      <c r="E88" s="475"/>
      <c r="F88" s="476">
        <v>1</v>
      </c>
      <c r="G88" s="187">
        <f t="shared" si="0"/>
        <v>0</v>
      </c>
      <c r="H88"/>
    </row>
    <row r="89" spans="1:8" x14ac:dyDescent="0.3">
      <c r="A89" s="473" t="s">
        <v>1311</v>
      </c>
      <c r="B89" s="474"/>
      <c r="C89" s="474"/>
      <c r="D89" s="474"/>
      <c r="E89" s="475"/>
      <c r="F89" s="476">
        <v>1</v>
      </c>
      <c r="G89" s="187">
        <f t="shared" si="0"/>
        <v>0</v>
      </c>
      <c r="H89"/>
    </row>
    <row r="90" spans="1:8" x14ac:dyDescent="0.3">
      <c r="A90" s="473" t="s">
        <v>1311</v>
      </c>
      <c r="B90" s="474"/>
      <c r="C90" s="474"/>
      <c r="D90" s="474"/>
      <c r="E90" s="475"/>
      <c r="F90" s="476">
        <v>1</v>
      </c>
      <c r="G90" s="187">
        <f t="shared" si="0"/>
        <v>0</v>
      </c>
      <c r="H90"/>
    </row>
    <row r="91" spans="1:8" x14ac:dyDescent="0.3">
      <c r="A91" s="473" t="s">
        <v>1311</v>
      </c>
      <c r="B91" s="474"/>
      <c r="C91" s="474"/>
      <c r="D91" s="474"/>
      <c r="E91" s="475"/>
      <c r="F91" s="476">
        <v>1</v>
      </c>
      <c r="G91" s="187">
        <f t="shared" si="0"/>
        <v>0</v>
      </c>
      <c r="H91"/>
    </row>
    <row r="92" spans="1:8" x14ac:dyDescent="0.3">
      <c r="A92" s="473" t="s">
        <v>1311</v>
      </c>
      <c r="B92" s="474"/>
      <c r="C92" s="474"/>
      <c r="D92" s="474"/>
      <c r="E92" s="475"/>
      <c r="F92" s="476">
        <v>1</v>
      </c>
      <c r="G92" s="187">
        <f t="shared" si="0"/>
        <v>0</v>
      </c>
      <c r="H92"/>
    </row>
    <row r="93" spans="1:8" x14ac:dyDescent="0.3">
      <c r="A93" s="473" t="s">
        <v>1311</v>
      </c>
      <c r="B93" s="474"/>
      <c r="C93" s="474"/>
      <c r="D93" s="474"/>
      <c r="E93" s="475"/>
      <c r="F93" s="476">
        <v>1</v>
      </c>
      <c r="G93" s="187">
        <f t="shared" si="0"/>
        <v>0</v>
      </c>
      <c r="H93"/>
    </row>
    <row r="94" spans="1:8" x14ac:dyDescent="0.3">
      <c r="A94" s="473" t="s">
        <v>1311</v>
      </c>
      <c r="B94" s="474"/>
      <c r="C94" s="474"/>
      <c r="D94" s="474"/>
      <c r="E94" s="475"/>
      <c r="F94" s="476">
        <v>1</v>
      </c>
      <c r="G94" s="187">
        <f t="shared" si="0"/>
        <v>0</v>
      </c>
      <c r="H94"/>
    </row>
    <row r="95" spans="1:8" x14ac:dyDescent="0.3">
      <c r="A95" s="473" t="s">
        <v>1311</v>
      </c>
      <c r="B95" s="474"/>
      <c r="C95" s="474"/>
      <c r="D95" s="474"/>
      <c r="E95" s="475"/>
      <c r="F95" s="476">
        <v>1</v>
      </c>
      <c r="G95" s="187">
        <f t="shared" si="0"/>
        <v>0</v>
      </c>
      <c r="H95"/>
    </row>
    <row r="96" spans="1:8" x14ac:dyDescent="0.3">
      <c r="A96" s="473" t="s">
        <v>1311</v>
      </c>
      <c r="B96" s="474"/>
      <c r="C96" s="474"/>
      <c r="D96" s="474"/>
      <c r="E96" s="475"/>
      <c r="F96" s="476">
        <v>1</v>
      </c>
      <c r="G96" s="187">
        <f t="shared" si="0"/>
        <v>0</v>
      </c>
      <c r="H96"/>
    </row>
    <row r="97" spans="1:8" x14ac:dyDescent="0.3">
      <c r="A97" s="473" t="s">
        <v>1311</v>
      </c>
      <c r="B97" s="474"/>
      <c r="C97" s="474"/>
      <c r="D97" s="474"/>
      <c r="E97" s="475"/>
      <c r="F97" s="476">
        <v>1</v>
      </c>
      <c r="G97" s="187">
        <f t="shared" si="0"/>
        <v>0</v>
      </c>
      <c r="H97"/>
    </row>
    <row r="98" spans="1:8" x14ac:dyDescent="0.3">
      <c r="A98" s="473" t="s">
        <v>1311</v>
      </c>
      <c r="B98" s="474"/>
      <c r="C98" s="474"/>
      <c r="D98" s="474"/>
      <c r="E98" s="475"/>
      <c r="F98" s="476">
        <v>1</v>
      </c>
      <c r="G98" s="187">
        <f t="shared" si="0"/>
        <v>0</v>
      </c>
      <c r="H98"/>
    </row>
    <row r="99" spans="1:8" x14ac:dyDescent="0.3">
      <c r="A99" s="473" t="s">
        <v>1311</v>
      </c>
      <c r="B99" s="474"/>
      <c r="C99" s="474"/>
      <c r="D99" s="474"/>
      <c r="E99" s="475"/>
      <c r="F99" s="476">
        <v>1</v>
      </c>
      <c r="G99" s="187">
        <f t="shared" si="0"/>
        <v>0</v>
      </c>
      <c r="H99"/>
    </row>
    <row r="100" spans="1:8" x14ac:dyDescent="0.3">
      <c r="A100" s="473" t="s">
        <v>1311</v>
      </c>
      <c r="B100" s="474"/>
      <c r="C100" s="474"/>
      <c r="D100" s="474"/>
      <c r="E100" s="475"/>
      <c r="F100" s="476">
        <v>1</v>
      </c>
      <c r="G100" s="187">
        <f t="shared" si="0"/>
        <v>0</v>
      </c>
      <c r="H100"/>
    </row>
    <row r="101" spans="1:8" x14ac:dyDescent="0.3">
      <c r="A101" s="473" t="s">
        <v>1311</v>
      </c>
      <c r="B101" s="474"/>
      <c r="C101" s="474"/>
      <c r="D101" s="474"/>
      <c r="E101" s="475"/>
      <c r="F101" s="476">
        <v>1</v>
      </c>
      <c r="G101" s="187">
        <f t="shared" si="0"/>
        <v>0</v>
      </c>
      <c r="H101"/>
    </row>
    <row r="102" spans="1:8" x14ac:dyDescent="0.3">
      <c r="A102" s="473" t="s">
        <v>1311</v>
      </c>
      <c r="B102" s="474"/>
      <c r="C102" s="474"/>
      <c r="D102" s="474"/>
      <c r="E102" s="475"/>
      <c r="F102" s="476">
        <v>1</v>
      </c>
      <c r="G102" s="187">
        <f t="shared" si="0"/>
        <v>0</v>
      </c>
      <c r="H102"/>
    </row>
    <row r="103" spans="1:8" x14ac:dyDescent="0.3">
      <c r="A103" s="473" t="s">
        <v>1311</v>
      </c>
      <c r="B103" s="474"/>
      <c r="C103" s="474"/>
      <c r="D103" s="474"/>
      <c r="E103" s="475"/>
      <c r="F103" s="476">
        <v>1</v>
      </c>
      <c r="G103" s="187">
        <f t="shared" si="0"/>
        <v>0</v>
      </c>
      <c r="H103"/>
    </row>
    <row r="104" spans="1:8" x14ac:dyDescent="0.3">
      <c r="A104" s="473" t="s">
        <v>1311</v>
      </c>
      <c r="B104" s="474"/>
      <c r="C104" s="474"/>
      <c r="D104" s="474"/>
      <c r="E104" s="475"/>
      <c r="F104" s="476">
        <v>1</v>
      </c>
      <c r="G104" s="187">
        <f t="shared" si="0"/>
        <v>0</v>
      </c>
      <c r="H104"/>
    </row>
    <row r="105" spans="1:8" x14ac:dyDescent="0.3">
      <c r="A105" s="473" t="s">
        <v>1311</v>
      </c>
      <c r="B105" s="474"/>
      <c r="C105" s="474"/>
      <c r="D105" s="474"/>
      <c r="E105" s="475"/>
      <c r="F105" s="476">
        <v>1</v>
      </c>
      <c r="G105" s="187">
        <f t="shared" si="0"/>
        <v>0</v>
      </c>
      <c r="H105"/>
    </row>
    <row r="106" spans="1:8" x14ac:dyDescent="0.3">
      <c r="A106" s="473" t="s">
        <v>1311</v>
      </c>
      <c r="B106" s="474"/>
      <c r="C106" s="474"/>
      <c r="D106" s="474"/>
      <c r="E106" s="474"/>
      <c r="F106" s="476">
        <v>1</v>
      </c>
      <c r="G106" s="187">
        <f t="shared" si="0"/>
        <v>0</v>
      </c>
      <c r="H106"/>
    </row>
    <row r="107" spans="1:8" x14ac:dyDescent="0.3">
      <c r="A107" s="473" t="s">
        <v>1311</v>
      </c>
      <c r="B107" s="474"/>
      <c r="C107" s="474"/>
      <c r="D107" s="474"/>
      <c r="E107" s="474"/>
      <c r="F107" s="476">
        <v>1</v>
      </c>
      <c r="G107" s="187">
        <f t="shared" si="0"/>
        <v>0</v>
      </c>
      <c r="H107"/>
    </row>
    <row r="108" spans="1:8" x14ac:dyDescent="0.3">
      <c r="A108" s="473" t="s">
        <v>1311</v>
      </c>
      <c r="B108" s="474"/>
      <c r="C108" s="474"/>
      <c r="D108" s="474"/>
      <c r="E108" s="474"/>
      <c r="F108" s="476">
        <v>1</v>
      </c>
      <c r="G108" s="187">
        <f t="shared" si="0"/>
        <v>0</v>
      </c>
      <c r="H108"/>
    </row>
    <row r="109" spans="1:8" x14ac:dyDescent="0.3">
      <c r="A109" s="473" t="s">
        <v>1311</v>
      </c>
      <c r="B109" s="474"/>
      <c r="C109" s="474"/>
      <c r="D109" s="474"/>
      <c r="E109" s="474"/>
      <c r="F109" s="476">
        <v>1</v>
      </c>
      <c r="G109" s="187">
        <f t="shared" si="0"/>
        <v>0</v>
      </c>
      <c r="H109"/>
    </row>
    <row r="110" spans="1:8" x14ac:dyDescent="0.3">
      <c r="A110" s="473" t="s">
        <v>1311</v>
      </c>
      <c r="B110" s="474"/>
      <c r="C110" s="474"/>
      <c r="D110" s="474"/>
      <c r="E110" s="474"/>
      <c r="F110" s="476">
        <v>1</v>
      </c>
      <c r="G110" s="187">
        <f t="shared" si="0"/>
        <v>0</v>
      </c>
      <c r="H110"/>
    </row>
    <row r="111" spans="1:8" x14ac:dyDescent="0.3">
      <c r="A111" s="473" t="s">
        <v>1311</v>
      </c>
      <c r="B111" s="474"/>
      <c r="C111" s="474"/>
      <c r="D111" s="474"/>
      <c r="E111" s="474"/>
      <c r="F111" s="476">
        <v>1</v>
      </c>
      <c r="G111" s="187">
        <f t="shared" si="0"/>
        <v>0</v>
      </c>
      <c r="H111"/>
    </row>
    <row r="112" spans="1:8" x14ac:dyDescent="0.3">
      <c r="A112" s="473" t="s">
        <v>1311</v>
      </c>
      <c r="B112" s="474"/>
      <c r="C112" s="474"/>
      <c r="D112" s="474"/>
      <c r="E112" s="474"/>
      <c r="F112" s="476">
        <v>1</v>
      </c>
      <c r="G112" s="187">
        <f t="shared" si="0"/>
        <v>0</v>
      </c>
      <c r="H112"/>
    </row>
    <row r="113" spans="1:8" x14ac:dyDescent="0.3">
      <c r="A113" s="473" t="s">
        <v>1311</v>
      </c>
      <c r="B113" s="474"/>
      <c r="C113" s="474"/>
      <c r="D113" s="474"/>
      <c r="E113" s="474"/>
      <c r="F113" s="476">
        <v>1</v>
      </c>
      <c r="G113" s="187">
        <f t="shared" si="0"/>
        <v>0</v>
      </c>
      <c r="H113"/>
    </row>
    <row r="114" spans="1:8" x14ac:dyDescent="0.3">
      <c r="A114" s="473" t="s">
        <v>1311</v>
      </c>
      <c r="B114" s="474"/>
      <c r="C114" s="474"/>
      <c r="D114" s="474"/>
      <c r="E114" s="474"/>
      <c r="F114" s="476">
        <v>1</v>
      </c>
      <c r="G114" s="187">
        <f t="shared" si="0"/>
        <v>0</v>
      </c>
      <c r="H114"/>
    </row>
    <row r="115" spans="1:8" x14ac:dyDescent="0.3">
      <c r="A115" s="473" t="s">
        <v>1311</v>
      </c>
      <c r="B115" s="474"/>
      <c r="C115" s="474"/>
      <c r="D115" s="474"/>
      <c r="E115" s="474"/>
      <c r="F115" s="476">
        <v>1</v>
      </c>
      <c r="G115" s="187">
        <f t="shared" ref="G115:G145" si="1">F115*E115</f>
        <v>0</v>
      </c>
      <c r="H115"/>
    </row>
    <row r="116" spans="1:8" x14ac:dyDescent="0.3">
      <c r="A116" s="473" t="s">
        <v>1311</v>
      </c>
      <c r="B116" s="474"/>
      <c r="C116" s="474"/>
      <c r="D116" s="474"/>
      <c r="E116" s="474"/>
      <c r="F116" s="476">
        <v>1</v>
      </c>
      <c r="G116" s="187">
        <f t="shared" si="1"/>
        <v>0</v>
      </c>
      <c r="H116"/>
    </row>
    <row r="117" spans="1:8" x14ac:dyDescent="0.3">
      <c r="A117" s="473" t="s">
        <v>1311</v>
      </c>
      <c r="B117" s="474"/>
      <c r="C117" s="474"/>
      <c r="D117" s="474"/>
      <c r="E117" s="474"/>
      <c r="F117" s="476">
        <v>1</v>
      </c>
      <c r="G117" s="187">
        <f t="shared" si="1"/>
        <v>0</v>
      </c>
      <c r="H117"/>
    </row>
    <row r="118" spans="1:8" x14ac:dyDescent="0.3">
      <c r="A118" s="473" t="s">
        <v>1311</v>
      </c>
      <c r="B118" s="474"/>
      <c r="C118" s="474"/>
      <c r="D118" s="474"/>
      <c r="E118" s="474"/>
      <c r="F118" s="476">
        <v>1</v>
      </c>
      <c r="G118" s="187">
        <f t="shared" si="1"/>
        <v>0</v>
      </c>
      <c r="H118"/>
    </row>
    <row r="119" spans="1:8" x14ac:dyDescent="0.3">
      <c r="A119" s="473" t="s">
        <v>1311</v>
      </c>
      <c r="B119" s="474"/>
      <c r="C119" s="474"/>
      <c r="D119" s="474"/>
      <c r="E119" s="474"/>
      <c r="F119" s="476">
        <v>1</v>
      </c>
      <c r="G119" s="187">
        <f t="shared" si="1"/>
        <v>0</v>
      </c>
      <c r="H119"/>
    </row>
    <row r="120" spans="1:8" x14ac:dyDescent="0.3">
      <c r="A120" s="473" t="s">
        <v>1311</v>
      </c>
      <c r="B120" s="474"/>
      <c r="C120" s="474"/>
      <c r="D120" s="474"/>
      <c r="E120" s="474"/>
      <c r="F120" s="476">
        <v>1</v>
      </c>
      <c r="G120" s="187">
        <f t="shared" si="1"/>
        <v>0</v>
      </c>
      <c r="H120"/>
    </row>
    <row r="121" spans="1:8" x14ac:dyDescent="0.3">
      <c r="A121" s="473" t="s">
        <v>1311</v>
      </c>
      <c r="B121" s="474"/>
      <c r="C121" s="474"/>
      <c r="D121" s="474"/>
      <c r="E121" s="474"/>
      <c r="F121" s="476">
        <v>1</v>
      </c>
      <c r="G121" s="187">
        <f t="shared" si="1"/>
        <v>0</v>
      </c>
      <c r="H121"/>
    </row>
    <row r="122" spans="1:8" x14ac:dyDescent="0.3">
      <c r="A122" s="473" t="s">
        <v>1311</v>
      </c>
      <c r="B122" s="474"/>
      <c r="C122" s="474"/>
      <c r="D122" s="474"/>
      <c r="E122" s="474"/>
      <c r="F122" s="476">
        <v>1</v>
      </c>
      <c r="G122" s="187">
        <f t="shared" si="1"/>
        <v>0</v>
      </c>
      <c r="H122"/>
    </row>
    <row r="123" spans="1:8" x14ac:dyDescent="0.3">
      <c r="A123" s="473" t="s">
        <v>1311</v>
      </c>
      <c r="B123" s="474"/>
      <c r="C123" s="474"/>
      <c r="D123" s="474"/>
      <c r="E123" s="474"/>
      <c r="F123" s="476">
        <v>1</v>
      </c>
      <c r="G123" s="187">
        <f t="shared" si="1"/>
        <v>0</v>
      </c>
      <c r="H123"/>
    </row>
    <row r="124" spans="1:8" x14ac:dyDescent="0.3">
      <c r="A124" s="473" t="s">
        <v>1311</v>
      </c>
      <c r="B124" s="474"/>
      <c r="C124" s="474"/>
      <c r="D124" s="474"/>
      <c r="E124" s="474"/>
      <c r="F124" s="476">
        <v>1</v>
      </c>
      <c r="G124" s="187">
        <f t="shared" si="1"/>
        <v>0</v>
      </c>
      <c r="H124"/>
    </row>
    <row r="125" spans="1:8" x14ac:dyDescent="0.3">
      <c r="A125" s="473" t="s">
        <v>1311</v>
      </c>
      <c r="B125" s="474"/>
      <c r="C125" s="474"/>
      <c r="D125" s="474"/>
      <c r="E125" s="474"/>
      <c r="F125" s="476">
        <v>1</v>
      </c>
      <c r="G125" s="187">
        <f t="shared" si="1"/>
        <v>0</v>
      </c>
      <c r="H125"/>
    </row>
    <row r="126" spans="1:8" x14ac:dyDescent="0.3">
      <c r="A126" s="473" t="s">
        <v>1311</v>
      </c>
      <c r="B126" s="474"/>
      <c r="C126" s="474"/>
      <c r="D126" s="474"/>
      <c r="E126" s="474"/>
      <c r="F126" s="476">
        <v>1</v>
      </c>
      <c r="G126" s="187">
        <f t="shared" si="1"/>
        <v>0</v>
      </c>
      <c r="H126"/>
    </row>
    <row r="127" spans="1:8" x14ac:dyDescent="0.3">
      <c r="A127" s="473" t="s">
        <v>1311</v>
      </c>
      <c r="B127" s="474"/>
      <c r="C127" s="474"/>
      <c r="D127" s="474"/>
      <c r="E127" s="474"/>
      <c r="F127" s="476">
        <v>1</v>
      </c>
      <c r="G127" s="187">
        <f t="shared" si="1"/>
        <v>0</v>
      </c>
      <c r="H127"/>
    </row>
    <row r="128" spans="1:8" x14ac:dyDescent="0.3">
      <c r="A128" s="473" t="s">
        <v>1311</v>
      </c>
      <c r="B128" s="474"/>
      <c r="C128" s="474"/>
      <c r="D128" s="474"/>
      <c r="E128" s="474"/>
      <c r="F128" s="476">
        <v>1</v>
      </c>
      <c r="G128" s="187">
        <f t="shared" si="1"/>
        <v>0</v>
      </c>
      <c r="H128"/>
    </row>
    <row r="129" spans="1:8" x14ac:dyDescent="0.3">
      <c r="A129" s="473" t="s">
        <v>1311</v>
      </c>
      <c r="B129" s="474"/>
      <c r="C129" s="474"/>
      <c r="D129" s="474"/>
      <c r="E129" s="474"/>
      <c r="F129" s="476">
        <v>1</v>
      </c>
      <c r="G129" s="187">
        <f t="shared" si="1"/>
        <v>0</v>
      </c>
      <c r="H129"/>
    </row>
    <row r="130" spans="1:8" x14ac:dyDescent="0.3">
      <c r="A130" s="473" t="s">
        <v>1311</v>
      </c>
      <c r="B130" s="474"/>
      <c r="C130" s="474"/>
      <c r="D130" s="474"/>
      <c r="E130" s="474"/>
      <c r="F130" s="476">
        <v>1</v>
      </c>
      <c r="G130" s="187">
        <f t="shared" si="1"/>
        <v>0</v>
      </c>
      <c r="H130"/>
    </row>
    <row r="131" spans="1:8" x14ac:dyDescent="0.3">
      <c r="A131" s="473" t="s">
        <v>1311</v>
      </c>
      <c r="B131" s="474"/>
      <c r="C131" s="474"/>
      <c r="D131" s="474"/>
      <c r="E131" s="474"/>
      <c r="F131" s="476">
        <v>1</v>
      </c>
      <c r="G131" s="187">
        <f t="shared" si="1"/>
        <v>0</v>
      </c>
      <c r="H131"/>
    </row>
    <row r="132" spans="1:8" x14ac:dyDescent="0.3">
      <c r="A132" s="473" t="s">
        <v>1311</v>
      </c>
      <c r="B132" s="474"/>
      <c r="C132" s="474"/>
      <c r="D132" s="474"/>
      <c r="E132" s="474"/>
      <c r="F132" s="476">
        <v>1</v>
      </c>
      <c r="G132" s="187">
        <f t="shared" si="1"/>
        <v>0</v>
      </c>
      <c r="H132"/>
    </row>
    <row r="133" spans="1:8" x14ac:dyDescent="0.3">
      <c r="A133" s="473" t="s">
        <v>1311</v>
      </c>
      <c r="B133" s="474"/>
      <c r="C133" s="474"/>
      <c r="D133" s="474"/>
      <c r="E133" s="474"/>
      <c r="F133" s="476">
        <v>1</v>
      </c>
      <c r="G133" s="187">
        <f t="shared" si="1"/>
        <v>0</v>
      </c>
      <c r="H133"/>
    </row>
    <row r="134" spans="1:8" x14ac:dyDescent="0.3">
      <c r="A134" s="473" t="s">
        <v>1311</v>
      </c>
      <c r="B134" s="474"/>
      <c r="C134" s="474"/>
      <c r="D134" s="474"/>
      <c r="E134" s="474"/>
      <c r="F134" s="476">
        <v>1</v>
      </c>
      <c r="G134" s="187">
        <f t="shared" si="1"/>
        <v>0</v>
      </c>
      <c r="H134"/>
    </row>
    <row r="135" spans="1:8" x14ac:dyDescent="0.3">
      <c r="A135" s="473" t="s">
        <v>1311</v>
      </c>
      <c r="B135" s="474"/>
      <c r="C135" s="474"/>
      <c r="D135" s="474"/>
      <c r="E135" s="474"/>
      <c r="F135" s="476">
        <v>1</v>
      </c>
      <c r="G135" s="187">
        <f t="shared" si="1"/>
        <v>0</v>
      </c>
      <c r="H135"/>
    </row>
    <row r="136" spans="1:8" x14ac:dyDescent="0.3">
      <c r="A136" s="473" t="s">
        <v>1311</v>
      </c>
      <c r="B136" s="474"/>
      <c r="C136" s="474"/>
      <c r="D136" s="474"/>
      <c r="E136" s="474"/>
      <c r="F136" s="476">
        <v>1</v>
      </c>
      <c r="G136" s="187">
        <f t="shared" si="1"/>
        <v>0</v>
      </c>
      <c r="H136"/>
    </row>
    <row r="137" spans="1:8" x14ac:dyDescent="0.3">
      <c r="A137" s="473" t="s">
        <v>1311</v>
      </c>
      <c r="B137" s="474"/>
      <c r="C137" s="474"/>
      <c r="D137" s="474"/>
      <c r="E137" s="474"/>
      <c r="F137" s="476">
        <v>1</v>
      </c>
      <c r="G137" s="187">
        <f t="shared" si="1"/>
        <v>0</v>
      </c>
      <c r="H137"/>
    </row>
    <row r="138" spans="1:8" x14ac:dyDescent="0.3">
      <c r="A138" s="473" t="s">
        <v>1311</v>
      </c>
      <c r="B138" s="474"/>
      <c r="C138" s="474"/>
      <c r="D138" s="474"/>
      <c r="E138" s="474"/>
      <c r="F138" s="476">
        <v>1</v>
      </c>
      <c r="G138" s="187">
        <f t="shared" si="1"/>
        <v>0</v>
      </c>
      <c r="H138"/>
    </row>
    <row r="139" spans="1:8" x14ac:dyDescent="0.3">
      <c r="A139" s="473" t="s">
        <v>1311</v>
      </c>
      <c r="B139" s="474"/>
      <c r="C139" s="474"/>
      <c r="D139" s="474"/>
      <c r="E139" s="474"/>
      <c r="F139" s="476">
        <v>1</v>
      </c>
      <c r="G139" s="187">
        <f t="shared" si="1"/>
        <v>0</v>
      </c>
      <c r="H139"/>
    </row>
    <row r="140" spans="1:8" x14ac:dyDescent="0.3">
      <c r="A140" s="473" t="s">
        <v>1311</v>
      </c>
      <c r="B140" s="474"/>
      <c r="C140" s="474"/>
      <c r="D140" s="474"/>
      <c r="E140" s="474"/>
      <c r="F140" s="476">
        <v>1</v>
      </c>
      <c r="G140" s="187">
        <f t="shared" si="1"/>
        <v>0</v>
      </c>
      <c r="H140"/>
    </row>
    <row r="141" spans="1:8" x14ac:dyDescent="0.3">
      <c r="A141" s="473" t="s">
        <v>1311</v>
      </c>
      <c r="B141" s="474"/>
      <c r="C141" s="474"/>
      <c r="D141" s="474"/>
      <c r="E141" s="474"/>
      <c r="F141" s="476">
        <v>1</v>
      </c>
      <c r="G141" s="187">
        <f t="shared" si="1"/>
        <v>0</v>
      </c>
      <c r="H141"/>
    </row>
    <row r="142" spans="1:8" x14ac:dyDescent="0.3">
      <c r="A142" s="473" t="s">
        <v>1311</v>
      </c>
      <c r="B142" s="474"/>
      <c r="C142" s="474"/>
      <c r="D142" s="474"/>
      <c r="E142" s="474"/>
      <c r="F142" s="476">
        <v>1</v>
      </c>
      <c r="G142" s="187">
        <f t="shared" si="1"/>
        <v>0</v>
      </c>
      <c r="H142"/>
    </row>
    <row r="143" spans="1:8" x14ac:dyDescent="0.3">
      <c r="A143" s="473" t="s">
        <v>1311</v>
      </c>
      <c r="B143" s="474"/>
      <c r="C143" s="474"/>
      <c r="D143" s="474"/>
      <c r="E143" s="474"/>
      <c r="F143" s="476">
        <v>1</v>
      </c>
      <c r="G143" s="187">
        <f t="shared" si="1"/>
        <v>0</v>
      </c>
      <c r="H143"/>
    </row>
    <row r="144" spans="1:8" x14ac:dyDescent="0.3">
      <c r="A144" s="473" t="s">
        <v>1311</v>
      </c>
      <c r="B144" s="474"/>
      <c r="C144" s="474"/>
      <c r="D144" s="474"/>
      <c r="E144" s="474"/>
      <c r="F144" s="476">
        <v>1</v>
      </c>
      <c r="G144" s="187">
        <f t="shared" si="1"/>
        <v>0</v>
      </c>
      <c r="H144"/>
    </row>
    <row r="145" spans="1:8" x14ac:dyDescent="0.3">
      <c r="A145" s="473" t="s">
        <v>1311</v>
      </c>
      <c r="B145" s="474"/>
      <c r="C145" s="474"/>
      <c r="D145" s="474"/>
      <c r="E145" s="474"/>
      <c r="F145" s="476">
        <v>1</v>
      </c>
      <c r="G145" s="187">
        <f t="shared" si="1"/>
        <v>0</v>
      </c>
      <c r="H145"/>
    </row>
    <row r="146" spans="1:8" x14ac:dyDescent="0.3">
      <c r="A146" s="473" t="s">
        <v>1311</v>
      </c>
      <c r="B146" s="474"/>
      <c r="C146" s="474"/>
      <c r="D146" s="474"/>
      <c r="E146" s="474"/>
      <c r="F146" s="476">
        <v>1</v>
      </c>
      <c r="G146" s="187">
        <f t="shared" si="0"/>
        <v>0</v>
      </c>
      <c r="H146"/>
    </row>
    <row r="147" spans="1:8" x14ac:dyDescent="0.3">
      <c r="A147" s="473" t="s">
        <v>1311</v>
      </c>
      <c r="B147" s="474"/>
      <c r="C147" s="474"/>
      <c r="D147" s="474"/>
      <c r="E147" s="474"/>
      <c r="F147" s="476">
        <v>1</v>
      </c>
      <c r="G147" s="187">
        <f t="shared" si="0"/>
        <v>0</v>
      </c>
      <c r="H147"/>
    </row>
    <row r="148" spans="1:8" x14ac:dyDescent="0.3">
      <c r="A148" s="473" t="s">
        <v>1311</v>
      </c>
      <c r="B148" s="474"/>
      <c r="C148" s="474"/>
      <c r="D148" s="474"/>
      <c r="E148" s="474"/>
      <c r="F148" s="476">
        <v>1</v>
      </c>
      <c r="G148" s="187">
        <f t="shared" si="0"/>
        <v>0</v>
      </c>
      <c r="H148"/>
    </row>
    <row r="149" spans="1:8" x14ac:dyDescent="0.3">
      <c r="A149" s="473" t="s">
        <v>1311</v>
      </c>
      <c r="B149" s="474"/>
      <c r="C149" s="474"/>
      <c r="D149" s="474"/>
      <c r="E149" s="474"/>
      <c r="F149" s="476">
        <v>1</v>
      </c>
      <c r="G149" s="187">
        <f t="shared" si="0"/>
        <v>0</v>
      </c>
      <c r="H149"/>
    </row>
    <row r="150" spans="1:8" x14ac:dyDescent="0.3">
      <c r="A150" s="473" t="s">
        <v>1311</v>
      </c>
      <c r="B150" s="474"/>
      <c r="C150" s="474"/>
      <c r="D150" s="474"/>
      <c r="E150" s="474"/>
      <c r="F150" s="476">
        <v>1</v>
      </c>
      <c r="G150" s="187">
        <f t="shared" si="0"/>
        <v>0</v>
      </c>
      <c r="H150"/>
    </row>
    <row r="151" spans="1:8" x14ac:dyDescent="0.3">
      <c r="A151" s="473" t="s">
        <v>1311</v>
      </c>
      <c r="B151" s="474"/>
      <c r="C151" s="474"/>
      <c r="D151" s="474"/>
      <c r="E151" s="474"/>
      <c r="F151" s="476">
        <v>1</v>
      </c>
      <c r="G151" s="187">
        <f t="shared" ref="G151:G169" si="2">F151*E151</f>
        <v>0</v>
      </c>
      <c r="H151"/>
    </row>
    <row r="152" spans="1:8" x14ac:dyDescent="0.3">
      <c r="A152" s="473" t="s">
        <v>1311</v>
      </c>
      <c r="B152" s="474"/>
      <c r="C152" s="474"/>
      <c r="D152" s="474"/>
      <c r="E152" s="474"/>
      <c r="F152" s="476">
        <v>1</v>
      </c>
      <c r="G152" s="187">
        <f t="shared" si="2"/>
        <v>0</v>
      </c>
      <c r="H152"/>
    </row>
    <row r="153" spans="1:8" x14ac:dyDescent="0.3">
      <c r="A153" s="473" t="s">
        <v>1311</v>
      </c>
      <c r="B153" s="474"/>
      <c r="C153" s="474"/>
      <c r="D153" s="474"/>
      <c r="E153" s="474"/>
      <c r="F153" s="476">
        <v>1</v>
      </c>
      <c r="G153" s="187">
        <f t="shared" si="2"/>
        <v>0</v>
      </c>
      <c r="H153"/>
    </row>
    <row r="154" spans="1:8" x14ac:dyDescent="0.3">
      <c r="A154" s="473" t="s">
        <v>1311</v>
      </c>
      <c r="B154" s="474"/>
      <c r="C154" s="474"/>
      <c r="D154" s="474"/>
      <c r="E154" s="474"/>
      <c r="F154" s="476">
        <v>1</v>
      </c>
      <c r="G154" s="187">
        <f t="shared" si="2"/>
        <v>0</v>
      </c>
      <c r="H154"/>
    </row>
    <row r="155" spans="1:8" x14ac:dyDescent="0.3">
      <c r="A155" s="473" t="s">
        <v>1311</v>
      </c>
      <c r="B155" s="474"/>
      <c r="C155" s="474"/>
      <c r="D155" s="474"/>
      <c r="E155" s="474"/>
      <c r="F155" s="476">
        <v>1</v>
      </c>
      <c r="G155" s="187">
        <f t="shared" si="2"/>
        <v>0</v>
      </c>
      <c r="H155"/>
    </row>
    <row r="156" spans="1:8" x14ac:dyDescent="0.3">
      <c r="A156" s="473" t="s">
        <v>1311</v>
      </c>
      <c r="B156" s="474"/>
      <c r="C156" s="474"/>
      <c r="D156" s="474"/>
      <c r="E156" s="474"/>
      <c r="F156" s="476">
        <v>1</v>
      </c>
      <c r="G156" s="187">
        <f t="shared" si="2"/>
        <v>0</v>
      </c>
      <c r="H156"/>
    </row>
    <row r="157" spans="1:8" x14ac:dyDescent="0.3">
      <c r="A157" s="473" t="s">
        <v>1311</v>
      </c>
      <c r="B157" s="474"/>
      <c r="C157" s="474"/>
      <c r="D157" s="474"/>
      <c r="E157" s="474"/>
      <c r="F157" s="476">
        <v>1</v>
      </c>
      <c r="G157" s="187">
        <f t="shared" si="2"/>
        <v>0</v>
      </c>
      <c r="H157"/>
    </row>
    <row r="158" spans="1:8" x14ac:dyDescent="0.3">
      <c r="A158" s="473" t="s">
        <v>1311</v>
      </c>
      <c r="B158" s="474"/>
      <c r="C158" s="474"/>
      <c r="D158" s="474"/>
      <c r="E158" s="474"/>
      <c r="F158" s="476">
        <v>1</v>
      </c>
      <c r="G158" s="187">
        <f t="shared" si="2"/>
        <v>0</v>
      </c>
      <c r="H158"/>
    </row>
    <row r="159" spans="1:8" x14ac:dyDescent="0.3">
      <c r="A159" s="473" t="s">
        <v>1311</v>
      </c>
      <c r="B159" s="474"/>
      <c r="C159" s="474"/>
      <c r="D159" s="474"/>
      <c r="E159" s="474"/>
      <c r="F159" s="476">
        <v>1</v>
      </c>
      <c r="G159" s="187">
        <f t="shared" si="2"/>
        <v>0</v>
      </c>
      <c r="H159"/>
    </row>
    <row r="160" spans="1:8" x14ac:dyDescent="0.3">
      <c r="A160" s="473" t="s">
        <v>1311</v>
      </c>
      <c r="B160" s="474"/>
      <c r="C160" s="474"/>
      <c r="D160" s="474"/>
      <c r="E160" s="474"/>
      <c r="F160" s="476">
        <v>1</v>
      </c>
      <c r="G160" s="187">
        <f t="shared" si="2"/>
        <v>0</v>
      </c>
      <c r="H160"/>
    </row>
    <row r="161" spans="1:8" x14ac:dyDescent="0.3">
      <c r="A161" s="473" t="s">
        <v>1311</v>
      </c>
      <c r="B161" s="474"/>
      <c r="C161" s="474"/>
      <c r="D161" s="474"/>
      <c r="E161" s="474"/>
      <c r="F161" s="476">
        <v>1</v>
      </c>
      <c r="G161" s="187">
        <f t="shared" si="2"/>
        <v>0</v>
      </c>
      <c r="H161"/>
    </row>
    <row r="162" spans="1:8" x14ac:dyDescent="0.3">
      <c r="A162" s="473" t="s">
        <v>1311</v>
      </c>
      <c r="B162" s="474"/>
      <c r="C162" s="474"/>
      <c r="D162" s="474"/>
      <c r="E162" s="474"/>
      <c r="F162" s="476">
        <v>1</v>
      </c>
      <c r="G162" s="187">
        <f t="shared" si="2"/>
        <v>0</v>
      </c>
      <c r="H162"/>
    </row>
    <row r="163" spans="1:8" x14ac:dyDescent="0.3">
      <c r="A163" s="473" t="s">
        <v>1311</v>
      </c>
      <c r="B163" s="474"/>
      <c r="C163" s="474"/>
      <c r="D163" s="474"/>
      <c r="E163" s="474"/>
      <c r="F163" s="476">
        <v>1</v>
      </c>
      <c r="G163" s="187">
        <f t="shared" si="2"/>
        <v>0</v>
      </c>
      <c r="H163"/>
    </row>
    <row r="164" spans="1:8" x14ac:dyDescent="0.3">
      <c r="A164" s="473" t="s">
        <v>1311</v>
      </c>
      <c r="B164" s="474"/>
      <c r="C164" s="474"/>
      <c r="D164" s="474"/>
      <c r="E164" s="474"/>
      <c r="F164" s="476">
        <v>1</v>
      </c>
      <c r="G164" s="187">
        <f t="shared" si="2"/>
        <v>0</v>
      </c>
      <c r="H164"/>
    </row>
    <row r="165" spans="1:8" x14ac:dyDescent="0.3">
      <c r="A165" s="473" t="s">
        <v>1311</v>
      </c>
      <c r="B165" s="474"/>
      <c r="C165" s="474"/>
      <c r="D165" s="474"/>
      <c r="E165" s="474"/>
      <c r="F165" s="476">
        <v>1</v>
      </c>
      <c r="G165" s="187">
        <f t="shared" si="2"/>
        <v>0</v>
      </c>
      <c r="H165"/>
    </row>
    <row r="166" spans="1:8" x14ac:dyDescent="0.3">
      <c r="A166" s="473" t="s">
        <v>1311</v>
      </c>
      <c r="B166" s="474"/>
      <c r="C166" s="474"/>
      <c r="D166" s="474"/>
      <c r="E166" s="474"/>
      <c r="F166" s="476">
        <v>1</v>
      </c>
      <c r="G166" s="187">
        <f t="shared" si="2"/>
        <v>0</v>
      </c>
      <c r="H166"/>
    </row>
    <row r="167" spans="1:8" x14ac:dyDescent="0.3">
      <c r="A167" s="473" t="s">
        <v>1311</v>
      </c>
      <c r="B167" s="474"/>
      <c r="C167" s="474"/>
      <c r="D167" s="474"/>
      <c r="E167" s="474"/>
      <c r="F167" s="476">
        <v>1</v>
      </c>
      <c r="G167" s="187">
        <f t="shared" si="2"/>
        <v>0</v>
      </c>
      <c r="H167"/>
    </row>
    <row r="168" spans="1:8" x14ac:dyDescent="0.3">
      <c r="A168" s="473" t="s">
        <v>1311</v>
      </c>
      <c r="B168" s="474"/>
      <c r="C168" s="474"/>
      <c r="D168" s="474"/>
      <c r="E168" s="474"/>
      <c r="F168" s="476">
        <v>1</v>
      </c>
      <c r="G168" s="187">
        <f t="shared" si="2"/>
        <v>0</v>
      </c>
      <c r="H168"/>
    </row>
    <row r="169" spans="1:8" x14ac:dyDescent="0.3">
      <c r="A169" s="473" t="s">
        <v>1311</v>
      </c>
      <c r="B169" s="474"/>
      <c r="C169" s="474"/>
      <c r="D169" s="474"/>
      <c r="E169" s="474"/>
      <c r="F169" s="476">
        <v>1</v>
      </c>
      <c r="G169" s="187">
        <f t="shared" si="2"/>
        <v>0</v>
      </c>
      <c r="H169"/>
    </row>
    <row r="170" spans="1:8" x14ac:dyDescent="0.3">
      <c r="A170" s="473" t="s">
        <v>1311</v>
      </c>
      <c r="B170" s="474"/>
      <c r="C170" s="474"/>
      <c r="D170" s="474"/>
      <c r="E170" s="474"/>
      <c r="F170" s="476">
        <v>1</v>
      </c>
      <c r="G170" s="187">
        <f t="shared" si="0"/>
        <v>0</v>
      </c>
      <c r="H170"/>
    </row>
    <row r="171" spans="1:8" x14ac:dyDescent="0.3">
      <c r="A171" s="473" t="s">
        <v>1311</v>
      </c>
      <c r="B171" s="474"/>
      <c r="C171" s="474"/>
      <c r="D171" s="474"/>
      <c r="E171" s="474"/>
      <c r="F171" s="476">
        <v>1</v>
      </c>
      <c r="G171" s="187">
        <f t="shared" si="0"/>
        <v>0</v>
      </c>
      <c r="H171"/>
    </row>
    <row r="172" spans="1:8" x14ac:dyDescent="0.3">
      <c r="A172" s="473" t="s">
        <v>1311</v>
      </c>
      <c r="B172" s="474"/>
      <c r="C172" s="474"/>
      <c r="D172" s="474"/>
      <c r="E172" s="474"/>
      <c r="F172" s="476">
        <v>1</v>
      </c>
      <c r="G172" s="187">
        <f t="shared" si="0"/>
        <v>0</v>
      </c>
      <c r="H172"/>
    </row>
    <row r="173" spans="1:8" x14ac:dyDescent="0.3">
      <c r="A173" s="473" t="s">
        <v>1311</v>
      </c>
      <c r="B173" s="474"/>
      <c r="C173" s="474"/>
      <c r="D173" s="474"/>
      <c r="E173" s="474"/>
      <c r="F173" s="476">
        <v>1</v>
      </c>
      <c r="G173" s="187">
        <f t="shared" si="0"/>
        <v>0</v>
      </c>
      <c r="H173"/>
    </row>
    <row r="174" spans="1:8" x14ac:dyDescent="0.3">
      <c r="A174" s="473" t="s">
        <v>1311</v>
      </c>
      <c r="B174" s="474"/>
      <c r="C174" s="474"/>
      <c r="D174" s="474"/>
      <c r="E174" s="474"/>
      <c r="F174" s="476">
        <v>1</v>
      </c>
      <c r="G174" s="187">
        <f t="shared" si="0"/>
        <v>0</v>
      </c>
      <c r="H174"/>
    </row>
    <row r="175" spans="1:8" x14ac:dyDescent="0.3">
      <c r="A175" s="473" t="s">
        <v>1311</v>
      </c>
      <c r="B175" s="474"/>
      <c r="C175" s="474"/>
      <c r="D175" s="474"/>
      <c r="E175" s="474"/>
      <c r="F175" s="476">
        <v>1</v>
      </c>
      <c r="G175" s="187">
        <f t="shared" si="0"/>
        <v>0</v>
      </c>
      <c r="H175"/>
    </row>
    <row r="176" spans="1:8" x14ac:dyDescent="0.3">
      <c r="A176" s="473" t="s">
        <v>1311</v>
      </c>
      <c r="B176" s="474"/>
      <c r="C176" s="474"/>
      <c r="D176" s="474"/>
      <c r="E176" s="474"/>
      <c r="F176" s="476">
        <v>1</v>
      </c>
      <c r="G176" s="187">
        <f t="shared" si="0"/>
        <v>0</v>
      </c>
      <c r="H176"/>
    </row>
    <row r="177" spans="1:8" x14ac:dyDescent="0.3">
      <c r="A177" s="473" t="s">
        <v>1311</v>
      </c>
      <c r="B177" s="474"/>
      <c r="C177" s="474"/>
      <c r="D177" s="474"/>
      <c r="E177" s="474"/>
      <c r="F177" s="476">
        <v>1</v>
      </c>
      <c r="G177" s="187">
        <f t="shared" si="0"/>
        <v>0</v>
      </c>
      <c r="H177"/>
    </row>
    <row r="178" spans="1:8" x14ac:dyDescent="0.3">
      <c r="A178" s="473" t="s">
        <v>1311</v>
      </c>
      <c r="B178" s="474"/>
      <c r="C178" s="474"/>
      <c r="D178" s="474"/>
      <c r="E178" s="474"/>
      <c r="F178" s="476">
        <v>1</v>
      </c>
      <c r="G178" s="187">
        <f t="shared" si="0"/>
        <v>0</v>
      </c>
      <c r="H178"/>
    </row>
    <row r="179" spans="1:8" x14ac:dyDescent="0.3">
      <c r="A179" s="473" t="s">
        <v>1311</v>
      </c>
      <c r="B179" s="474"/>
      <c r="C179" s="474"/>
      <c r="D179" s="474"/>
      <c r="E179" s="474"/>
      <c r="F179" s="476">
        <v>1</v>
      </c>
      <c r="G179" s="187">
        <f t="shared" si="0"/>
        <v>0</v>
      </c>
      <c r="H179"/>
    </row>
    <row r="180" spans="1:8" x14ac:dyDescent="0.3">
      <c r="A180" s="473" t="s">
        <v>1311</v>
      </c>
      <c r="B180" s="474"/>
      <c r="C180" s="474"/>
      <c r="D180" s="474"/>
      <c r="E180" s="474"/>
      <c r="F180" s="476">
        <v>1</v>
      </c>
      <c r="G180" s="187">
        <f t="shared" si="0"/>
        <v>0</v>
      </c>
      <c r="H180"/>
    </row>
    <row r="181" spans="1:8" x14ac:dyDescent="0.3">
      <c r="A181" s="473" t="s">
        <v>1311</v>
      </c>
      <c r="B181" s="474"/>
      <c r="C181" s="474"/>
      <c r="D181" s="474"/>
      <c r="E181" s="474"/>
      <c r="F181" s="476">
        <v>1</v>
      </c>
      <c r="G181" s="187">
        <f t="shared" si="0"/>
        <v>0</v>
      </c>
      <c r="H181"/>
    </row>
    <row r="182" spans="1:8" x14ac:dyDescent="0.3">
      <c r="A182" s="473" t="s">
        <v>1311</v>
      </c>
      <c r="B182" s="474"/>
      <c r="C182" s="474"/>
      <c r="D182" s="474"/>
      <c r="E182" s="474"/>
      <c r="F182" s="476">
        <v>1</v>
      </c>
      <c r="G182" s="187">
        <f t="shared" si="0"/>
        <v>0</v>
      </c>
      <c r="H182"/>
    </row>
    <row r="183" spans="1:8" x14ac:dyDescent="0.3">
      <c r="A183" s="473" t="s">
        <v>1311</v>
      </c>
      <c r="B183" s="474"/>
      <c r="C183" s="474"/>
      <c r="D183" s="474"/>
      <c r="E183" s="474"/>
      <c r="F183" s="476">
        <v>1</v>
      </c>
      <c r="G183" s="187">
        <f t="shared" si="0"/>
        <v>0</v>
      </c>
      <c r="H183"/>
    </row>
    <row r="184" spans="1:8" x14ac:dyDescent="0.3">
      <c r="A184" s="473" t="s">
        <v>1311</v>
      </c>
      <c r="B184" s="474"/>
      <c r="C184" s="474"/>
      <c r="D184" s="474"/>
      <c r="E184" s="474"/>
      <c r="F184" s="476">
        <v>1</v>
      </c>
      <c r="G184" s="187">
        <f t="shared" si="0"/>
        <v>0</v>
      </c>
      <c r="H184"/>
    </row>
    <row r="185" spans="1:8" x14ac:dyDescent="0.3">
      <c r="A185" s="473" t="s">
        <v>1311</v>
      </c>
      <c r="B185" s="474"/>
      <c r="C185" s="474"/>
      <c r="D185" s="474"/>
      <c r="E185" s="474"/>
      <c r="F185" s="476">
        <v>1</v>
      </c>
      <c r="G185" s="187">
        <f t="shared" si="0"/>
        <v>0</v>
      </c>
      <c r="H185"/>
    </row>
    <row r="186" spans="1:8" x14ac:dyDescent="0.3">
      <c r="A186" s="473" t="s">
        <v>1311</v>
      </c>
      <c r="B186" s="474"/>
      <c r="C186" s="474"/>
      <c r="D186" s="474"/>
      <c r="E186" s="474"/>
      <c r="F186" s="476">
        <v>1</v>
      </c>
      <c r="G186" s="187">
        <f t="shared" si="0"/>
        <v>0</v>
      </c>
      <c r="H186"/>
    </row>
    <row r="187" spans="1:8" x14ac:dyDescent="0.3">
      <c r="A187" s="473" t="s">
        <v>1311</v>
      </c>
      <c r="B187" s="474"/>
      <c r="C187" s="474"/>
      <c r="D187" s="474"/>
      <c r="E187" s="474"/>
      <c r="F187" s="476">
        <v>1</v>
      </c>
      <c r="G187" s="187">
        <f t="shared" si="0"/>
        <v>0</v>
      </c>
      <c r="H187"/>
    </row>
    <row r="188" spans="1:8" x14ac:dyDescent="0.3">
      <c r="A188" s="473" t="s">
        <v>1311</v>
      </c>
      <c r="B188" s="474"/>
      <c r="C188" s="474"/>
      <c r="D188" s="474"/>
      <c r="E188" s="474"/>
      <c r="F188" s="476">
        <v>1</v>
      </c>
      <c r="G188" s="187">
        <f t="shared" si="0"/>
        <v>0</v>
      </c>
      <c r="H188"/>
    </row>
    <row r="189" spans="1:8" x14ac:dyDescent="0.3">
      <c r="A189" s="473" t="s">
        <v>1311</v>
      </c>
      <c r="B189" s="474"/>
      <c r="C189" s="474"/>
      <c r="D189" s="474"/>
      <c r="E189" s="474"/>
      <c r="F189" s="476">
        <v>1</v>
      </c>
      <c r="G189" s="187">
        <f t="shared" si="0"/>
        <v>0</v>
      </c>
      <c r="H189"/>
    </row>
    <row r="190" spans="1:8" x14ac:dyDescent="0.3">
      <c r="A190" s="473" t="s">
        <v>1311</v>
      </c>
      <c r="B190" s="474"/>
      <c r="C190" s="474"/>
      <c r="D190" s="474"/>
      <c r="E190" s="474"/>
      <c r="F190" s="476">
        <v>1</v>
      </c>
      <c r="G190" s="187">
        <f t="shared" si="0"/>
        <v>0</v>
      </c>
      <c r="H190"/>
    </row>
    <row r="191" spans="1:8" x14ac:dyDescent="0.3">
      <c r="A191" s="473" t="s">
        <v>1311</v>
      </c>
      <c r="B191" s="474"/>
      <c r="C191" s="474"/>
      <c r="D191" s="474"/>
      <c r="E191" s="474"/>
      <c r="F191" s="476">
        <v>1</v>
      </c>
      <c r="G191" s="187">
        <f t="shared" si="0"/>
        <v>0</v>
      </c>
      <c r="H191"/>
    </row>
    <row r="192" spans="1:8" x14ac:dyDescent="0.3">
      <c r="A192" s="473" t="s">
        <v>1311</v>
      </c>
      <c r="B192" s="474"/>
      <c r="C192" s="474"/>
      <c r="D192" s="474"/>
      <c r="E192" s="474"/>
      <c r="F192" s="476">
        <v>1</v>
      </c>
      <c r="G192" s="187">
        <f t="shared" si="0"/>
        <v>0</v>
      </c>
      <c r="H192"/>
    </row>
    <row r="193" spans="1:8" x14ac:dyDescent="0.3">
      <c r="A193" s="473" t="s">
        <v>1311</v>
      </c>
      <c r="B193" s="474"/>
      <c r="C193" s="474"/>
      <c r="D193" s="474"/>
      <c r="E193" s="474"/>
      <c r="F193" s="476">
        <v>1</v>
      </c>
      <c r="G193" s="187">
        <f t="shared" si="0"/>
        <v>0</v>
      </c>
      <c r="H193"/>
    </row>
    <row r="194" spans="1:8" x14ac:dyDescent="0.3">
      <c r="A194" s="473" t="s">
        <v>1311</v>
      </c>
      <c r="B194" s="474"/>
      <c r="C194" s="474"/>
      <c r="D194" s="474"/>
      <c r="E194" s="474"/>
      <c r="F194" s="476">
        <v>1</v>
      </c>
      <c r="G194" s="187">
        <f t="shared" si="0"/>
        <v>0</v>
      </c>
      <c r="H194"/>
    </row>
    <row r="195" spans="1:8" x14ac:dyDescent="0.3">
      <c r="A195" s="473" t="s">
        <v>1311</v>
      </c>
      <c r="B195" s="474"/>
      <c r="C195" s="474"/>
      <c r="D195" s="474"/>
      <c r="E195" s="474"/>
      <c r="F195" s="476">
        <v>1</v>
      </c>
      <c r="G195" s="187">
        <f t="shared" si="0"/>
        <v>0</v>
      </c>
      <c r="H195"/>
    </row>
    <row r="196" spans="1:8" x14ac:dyDescent="0.3">
      <c r="A196" s="473" t="s">
        <v>1311</v>
      </c>
      <c r="B196" s="474"/>
      <c r="C196" s="474"/>
      <c r="D196" s="474"/>
      <c r="E196" s="474"/>
      <c r="F196" s="476">
        <v>1</v>
      </c>
      <c r="G196" s="187">
        <f t="shared" si="0"/>
        <v>0</v>
      </c>
      <c r="H196"/>
    </row>
    <row r="197" spans="1:8" x14ac:dyDescent="0.3">
      <c r="A197" s="473" t="s">
        <v>1311</v>
      </c>
      <c r="B197" s="474"/>
      <c r="C197" s="474"/>
      <c r="D197" s="474"/>
      <c r="E197" s="474"/>
      <c r="F197" s="476">
        <v>1</v>
      </c>
      <c r="G197" s="187">
        <f t="shared" si="0"/>
        <v>0</v>
      </c>
      <c r="H197"/>
    </row>
    <row r="199" spans="1:8" ht="21" x14ac:dyDescent="0.3">
      <c r="A199" s="1095" t="s">
        <v>1838</v>
      </c>
      <c r="B199" s="1096"/>
      <c r="C199" s="1096"/>
    </row>
    <row r="200" spans="1:8" ht="17.55" customHeight="1" x14ac:dyDescent="0.3">
      <c r="A200" s="439"/>
      <c r="B200" s="440"/>
      <c r="C200" s="440"/>
    </row>
    <row r="201" spans="1:8" x14ac:dyDescent="0.3">
      <c r="A201" t="s">
        <v>1840</v>
      </c>
    </row>
    <row r="202" spans="1:8" ht="17.55" customHeight="1" x14ac:dyDescent="0.3">
      <c r="A202" s="439"/>
      <c r="B202" s="440"/>
      <c r="C202" s="440"/>
    </row>
    <row r="203" spans="1:8" ht="17.55" customHeight="1" x14ac:dyDescent="0.3">
      <c r="A203" s="1095" t="s">
        <v>1835</v>
      </c>
      <c r="B203" s="1097"/>
      <c r="C203" s="1097"/>
      <c r="D203" s="1097"/>
      <c r="E203" s="1097"/>
    </row>
    <row r="204" spans="1:8" ht="17.55" customHeight="1" x14ac:dyDescent="0.3">
      <c r="A204" s="439"/>
      <c r="B204" s="79"/>
      <c r="C204" s="79"/>
      <c r="D204" s="79"/>
      <c r="E204" s="79"/>
    </row>
    <row r="205" spans="1:8" x14ac:dyDescent="0.3">
      <c r="A205" t="s">
        <v>1837</v>
      </c>
    </row>
    <row r="206" spans="1:8" x14ac:dyDescent="0.3">
      <c r="A206" t="s">
        <v>1804</v>
      </c>
    </row>
    <row r="208" spans="1:8" ht="15" thickBot="1" x14ac:dyDescent="0.35">
      <c r="A208" s="183"/>
      <c r="B208" s="183"/>
      <c r="C208" s="183"/>
      <c r="D208" t="s">
        <v>33</v>
      </c>
      <c r="E208" t="s">
        <v>33</v>
      </c>
      <c r="F208" t="s">
        <v>33</v>
      </c>
    </row>
    <row r="209" spans="1:6" ht="15" thickBot="1" x14ac:dyDescent="0.35">
      <c r="C209" s="16"/>
      <c r="D209" s="1098" t="s">
        <v>1263</v>
      </c>
      <c r="E209" s="1099"/>
      <c r="F209" s="599" t="s">
        <v>1578</v>
      </c>
    </row>
    <row r="210" spans="1:6" ht="15" thickBot="1" x14ac:dyDescent="0.35">
      <c r="A210" s="86" t="s">
        <v>1802</v>
      </c>
      <c r="B210" s="86" t="s">
        <v>1802</v>
      </c>
      <c r="C210" s="16" t="s">
        <v>1156</v>
      </c>
      <c r="D210" s="197" t="s">
        <v>1579</v>
      </c>
      <c r="E210" s="197" t="s">
        <v>1580</v>
      </c>
      <c r="F210" s="543"/>
    </row>
    <row r="211" spans="1:6" ht="15" thickBot="1" x14ac:dyDescent="0.35">
      <c r="A211" s="189" t="s">
        <v>1270</v>
      </c>
      <c r="B211" s="189" t="s">
        <v>1148</v>
      </c>
      <c r="C211" s="442" t="s">
        <v>1271</v>
      </c>
      <c r="D211" s="443" t="s">
        <v>0</v>
      </c>
      <c r="E211" s="198" t="s">
        <v>2</v>
      </c>
      <c r="F211" s="544"/>
    </row>
    <row r="212" spans="1:6" x14ac:dyDescent="0.3">
      <c r="A212" s="441" t="str">
        <f t="shared" ref="A212:B227" si="3">A9</f>
        <v>Gebouw</v>
      </c>
      <c r="B212" s="444">
        <f t="shared" si="3"/>
        <v>25</v>
      </c>
      <c r="C212" s="187">
        <f t="shared" ref="C212:C227" si="4">SUMIF($A$43:$A$197,A212,$G$43:$G$197)</f>
        <v>0</v>
      </c>
      <c r="D212" s="451">
        <f>C212</f>
        <v>0</v>
      </c>
      <c r="E212" s="452"/>
      <c r="F212" s="453"/>
    </row>
    <row r="213" spans="1:6" x14ac:dyDescent="0.3">
      <c r="A213" s="441" t="str">
        <f t="shared" si="3"/>
        <v>Meubilair (los)</v>
      </c>
      <c r="B213" s="444">
        <f t="shared" si="3"/>
        <v>10</v>
      </c>
      <c r="C213" s="187">
        <f t="shared" si="4"/>
        <v>0</v>
      </c>
      <c r="D213" s="451">
        <f t="shared" ref="D213:D227" si="5">C213</f>
        <v>0</v>
      </c>
      <c r="E213" s="454"/>
      <c r="F213" s="455"/>
    </row>
    <row r="214" spans="1:6" x14ac:dyDescent="0.3">
      <c r="A214" s="441" t="str">
        <f t="shared" si="3"/>
        <v>domotica</v>
      </c>
      <c r="B214" s="444">
        <f t="shared" si="3"/>
        <v>3</v>
      </c>
      <c r="C214" s="187">
        <f t="shared" si="4"/>
        <v>0</v>
      </c>
      <c r="D214" s="451">
        <f t="shared" si="5"/>
        <v>0</v>
      </c>
      <c r="E214" s="454"/>
      <c r="F214" s="455"/>
    </row>
    <row r="215" spans="1:6" x14ac:dyDescent="0.3">
      <c r="A215" s="441" t="str">
        <f t="shared" si="3"/>
        <v>gordijnen</v>
      </c>
      <c r="B215" s="444">
        <f t="shared" si="3"/>
        <v>5</v>
      </c>
      <c r="C215" s="187">
        <f t="shared" si="4"/>
        <v>0</v>
      </c>
      <c r="D215" s="451">
        <f t="shared" si="5"/>
        <v>0</v>
      </c>
      <c r="E215" s="454"/>
      <c r="F215" s="455"/>
    </row>
    <row r="216" spans="1:6" x14ac:dyDescent="0.3">
      <c r="A216" s="441" t="str">
        <f t="shared" si="3"/>
        <v>hardware</v>
      </c>
      <c r="B216" s="444">
        <f t="shared" si="3"/>
        <v>10</v>
      </c>
      <c r="C216" s="187">
        <f t="shared" si="4"/>
        <v>0</v>
      </c>
      <c r="D216" s="451">
        <f t="shared" si="5"/>
        <v>0</v>
      </c>
      <c r="E216" s="454"/>
      <c r="F216" s="455"/>
    </row>
    <row r="217" spans="1:6" x14ac:dyDescent="0.3">
      <c r="A217" s="441" t="str">
        <f t="shared" si="3"/>
        <v>software</v>
      </c>
      <c r="B217" s="444">
        <f t="shared" si="3"/>
        <v>5</v>
      </c>
      <c r="C217" s="187">
        <f t="shared" si="4"/>
        <v>0</v>
      </c>
      <c r="D217" s="451">
        <f t="shared" si="5"/>
        <v>0</v>
      </c>
      <c r="E217" s="454"/>
      <c r="F217" s="455"/>
    </row>
    <row r="218" spans="1:6" x14ac:dyDescent="0.3">
      <c r="A218" s="441" t="str">
        <f t="shared" si="3"/>
        <v>Investering5</v>
      </c>
      <c r="B218" s="444">
        <f t="shared" si="3"/>
        <v>20</v>
      </c>
      <c r="C218" s="187">
        <f t="shared" si="4"/>
        <v>0</v>
      </c>
      <c r="D218" s="451">
        <f t="shared" si="5"/>
        <v>0</v>
      </c>
      <c r="E218" s="454"/>
      <c r="F218" s="455"/>
    </row>
    <row r="219" spans="1:6" x14ac:dyDescent="0.3">
      <c r="A219" s="441" t="str">
        <f t="shared" si="3"/>
        <v>Investering6</v>
      </c>
      <c r="B219" s="444">
        <f t="shared" si="3"/>
        <v>0</v>
      </c>
      <c r="C219" s="187">
        <f t="shared" si="4"/>
        <v>0</v>
      </c>
      <c r="D219" s="451">
        <f t="shared" si="5"/>
        <v>0</v>
      </c>
      <c r="E219" s="454"/>
      <c r="F219" s="455"/>
    </row>
    <row r="220" spans="1:6" x14ac:dyDescent="0.3">
      <c r="A220" s="441" t="str">
        <f t="shared" si="3"/>
        <v>Investering7</v>
      </c>
      <c r="B220" s="444">
        <f t="shared" si="3"/>
        <v>0</v>
      </c>
      <c r="C220" s="187">
        <f t="shared" si="4"/>
        <v>0</v>
      </c>
      <c r="D220" s="451">
        <f t="shared" si="5"/>
        <v>0</v>
      </c>
      <c r="E220" s="454"/>
      <c r="F220" s="455"/>
    </row>
    <row r="221" spans="1:6" x14ac:dyDescent="0.3">
      <c r="A221" s="441" t="str">
        <f t="shared" si="3"/>
        <v>Investering8</v>
      </c>
      <c r="B221" s="444">
        <f t="shared" si="3"/>
        <v>0</v>
      </c>
      <c r="C221" s="187">
        <f t="shared" si="4"/>
        <v>0</v>
      </c>
      <c r="D221" s="451">
        <f t="shared" si="5"/>
        <v>0</v>
      </c>
      <c r="E221" s="454"/>
      <c r="F221" s="455"/>
    </row>
    <row r="222" spans="1:6" x14ac:dyDescent="0.3">
      <c r="A222" s="441" t="str">
        <f t="shared" si="3"/>
        <v>Investering9</v>
      </c>
      <c r="B222" s="444">
        <f t="shared" si="3"/>
        <v>0</v>
      </c>
      <c r="C222" s="187">
        <f t="shared" si="4"/>
        <v>0</v>
      </c>
      <c r="D222" s="451">
        <f t="shared" si="5"/>
        <v>0</v>
      </c>
      <c r="E222" s="454"/>
      <c r="F222" s="455"/>
    </row>
    <row r="223" spans="1:6" x14ac:dyDescent="0.3">
      <c r="A223" s="441" t="str">
        <f t="shared" si="3"/>
        <v>Investering10</v>
      </c>
      <c r="B223" s="444">
        <f t="shared" si="3"/>
        <v>0</v>
      </c>
      <c r="C223" s="187">
        <f t="shared" si="4"/>
        <v>0</v>
      </c>
      <c r="D223" s="451">
        <f t="shared" si="5"/>
        <v>0</v>
      </c>
      <c r="E223" s="454"/>
      <c r="F223" s="455"/>
    </row>
    <row r="224" spans="1:6" x14ac:dyDescent="0.3">
      <c r="A224" s="441" t="str">
        <f t="shared" si="3"/>
        <v>Investering11</v>
      </c>
      <c r="B224" s="444">
        <f t="shared" si="3"/>
        <v>0</v>
      </c>
      <c r="C224" s="187">
        <f t="shared" si="4"/>
        <v>0</v>
      </c>
      <c r="D224" s="451">
        <f t="shared" si="5"/>
        <v>0</v>
      </c>
      <c r="E224" s="454"/>
      <c r="F224" s="455"/>
    </row>
    <row r="225" spans="1:6" x14ac:dyDescent="0.3">
      <c r="A225" s="441" t="str">
        <f t="shared" si="3"/>
        <v>Investering12</v>
      </c>
      <c r="B225" s="444">
        <f t="shared" si="3"/>
        <v>0</v>
      </c>
      <c r="C225" s="187">
        <f t="shared" si="4"/>
        <v>0</v>
      </c>
      <c r="D225" s="451">
        <f t="shared" ref="D225" si="6">C225</f>
        <v>0</v>
      </c>
      <c r="E225" s="454"/>
      <c r="F225" s="455"/>
    </row>
    <row r="226" spans="1:6" x14ac:dyDescent="0.3">
      <c r="A226" s="441" t="str">
        <f t="shared" si="3"/>
        <v>Investering13</v>
      </c>
      <c r="B226" s="444">
        <f t="shared" si="3"/>
        <v>0</v>
      </c>
      <c r="C226" s="187">
        <f t="shared" si="4"/>
        <v>0</v>
      </c>
      <c r="D226" s="451">
        <f t="shared" si="5"/>
        <v>0</v>
      </c>
      <c r="E226" s="454"/>
      <c r="F226" s="455"/>
    </row>
    <row r="227" spans="1:6" ht="15" thickBot="1" x14ac:dyDescent="0.35">
      <c r="A227" s="441" t="str">
        <f t="shared" si="3"/>
        <v>Investering14</v>
      </c>
      <c r="B227" s="444">
        <f t="shared" si="3"/>
        <v>0</v>
      </c>
      <c r="C227" s="187">
        <f t="shared" si="4"/>
        <v>0</v>
      </c>
      <c r="D227" s="458">
        <f t="shared" si="5"/>
        <v>0</v>
      </c>
      <c r="E227" s="456"/>
      <c r="F227" s="457"/>
    </row>
    <row r="228" spans="1:6" ht="15" thickBot="1" x14ac:dyDescent="0.35">
      <c r="A228" s="165"/>
      <c r="C228" s="460">
        <f>SUM(C212:C227)</f>
        <v>0</v>
      </c>
      <c r="D228" s="459">
        <f>SUM(D212:D227)</f>
        <v>0</v>
      </c>
      <c r="E228" s="459">
        <f t="shared" ref="E228:F228" si="7">SUM(E212:E227)</f>
        <v>0</v>
      </c>
      <c r="F228" s="459">
        <f t="shared" si="7"/>
        <v>0</v>
      </c>
    </row>
    <row r="229" spans="1:6" x14ac:dyDescent="0.3">
      <c r="C229" s="461"/>
      <c r="D229" s="461"/>
    </row>
    <row r="230" spans="1:6" ht="21" customHeight="1" x14ac:dyDescent="0.3">
      <c r="A230" s="1095" t="s">
        <v>1836</v>
      </c>
      <c r="B230" s="1097"/>
      <c r="C230" s="1097"/>
      <c r="D230" s="1097"/>
      <c r="E230" s="1097"/>
    </row>
    <row r="231" spans="1:6" ht="21" customHeight="1" x14ac:dyDescent="0.3">
      <c r="A231" s="439"/>
      <c r="B231" s="79"/>
      <c r="C231" s="79"/>
      <c r="D231" s="79"/>
      <c r="E231" s="79"/>
    </row>
    <row r="232" spans="1:6" x14ac:dyDescent="0.3">
      <c r="A232" t="s">
        <v>1803</v>
      </c>
    </row>
    <row r="233" spans="1:6" x14ac:dyDescent="0.3">
      <c r="A233" t="s">
        <v>1805</v>
      </c>
    </row>
    <row r="235" spans="1:6" ht="15" thickBot="1" x14ac:dyDescent="0.35">
      <c r="C235" t="s">
        <v>33</v>
      </c>
      <c r="D235" t="s">
        <v>33</v>
      </c>
      <c r="E235" t="s">
        <v>33</v>
      </c>
    </row>
    <row r="236" spans="1:6" ht="15" thickBot="1" x14ac:dyDescent="0.35">
      <c r="A236" s="165"/>
      <c r="C236" s="1098" t="s">
        <v>1263</v>
      </c>
      <c r="D236" s="1099"/>
      <c r="E236" s="599" t="s">
        <v>1578</v>
      </c>
    </row>
    <row r="237" spans="1:6" ht="15" thickBot="1" x14ac:dyDescent="0.35">
      <c r="A237" s="449" t="s">
        <v>1802</v>
      </c>
      <c r="B237" s="86" t="s">
        <v>1802</v>
      </c>
      <c r="C237" s="197" t="s">
        <v>1579</v>
      </c>
      <c r="D237" s="197" t="s">
        <v>1580</v>
      </c>
      <c r="E237" s="543"/>
    </row>
    <row r="238" spans="1:6" ht="15" thickBot="1" x14ac:dyDescent="0.35">
      <c r="A238" s="445" t="s">
        <v>1564</v>
      </c>
      <c r="B238" s="446" t="s">
        <v>1565</v>
      </c>
      <c r="C238" s="443" t="s">
        <v>0</v>
      </c>
      <c r="D238" s="198" t="s">
        <v>2</v>
      </c>
      <c r="E238" s="544"/>
    </row>
    <row r="239" spans="1:6" x14ac:dyDescent="0.3">
      <c r="A239" s="447">
        <v>3</v>
      </c>
      <c r="B239" s="450">
        <f>SUMIF($B$212:$B$227,A239,$C$212:$C$227)</f>
        <v>0</v>
      </c>
      <c r="C239" s="451">
        <f>B239</f>
        <v>0</v>
      </c>
      <c r="D239" s="452"/>
      <c r="E239" s="453"/>
    </row>
    <row r="240" spans="1:6" x14ac:dyDescent="0.3">
      <c r="A240" s="447">
        <v>5</v>
      </c>
      <c r="B240" s="450">
        <f t="shared" ref="B240:B249" si="8">SUMIF($B$212:$B$227,A240,$C$212:$C$227)</f>
        <v>0</v>
      </c>
      <c r="C240" s="451">
        <f t="shared" ref="C240:C249" si="9">B240</f>
        <v>0</v>
      </c>
      <c r="D240" s="454"/>
      <c r="E240" s="455"/>
    </row>
    <row r="241" spans="1:5" x14ac:dyDescent="0.3">
      <c r="A241" s="447">
        <v>10</v>
      </c>
      <c r="B241" s="450">
        <f t="shared" si="8"/>
        <v>0</v>
      </c>
      <c r="C241" s="451">
        <f t="shared" si="9"/>
        <v>0</v>
      </c>
      <c r="D241" s="454"/>
      <c r="E241" s="455"/>
    </row>
    <row r="242" spans="1:5" x14ac:dyDescent="0.3">
      <c r="A242" s="447">
        <v>15</v>
      </c>
      <c r="B242" s="450">
        <f t="shared" si="8"/>
        <v>0</v>
      </c>
      <c r="C242" s="451">
        <f t="shared" si="9"/>
        <v>0</v>
      </c>
      <c r="D242" s="454"/>
      <c r="E242" s="455"/>
    </row>
    <row r="243" spans="1:5" x14ac:dyDescent="0.3">
      <c r="A243" s="447">
        <v>20</v>
      </c>
      <c r="B243" s="450">
        <f t="shared" si="8"/>
        <v>0</v>
      </c>
      <c r="C243" s="451">
        <f t="shared" si="9"/>
        <v>0</v>
      </c>
      <c r="D243" s="454"/>
      <c r="E243" s="455"/>
    </row>
    <row r="244" spans="1:5" x14ac:dyDescent="0.3">
      <c r="A244" s="447">
        <v>25</v>
      </c>
      <c r="B244" s="450">
        <f t="shared" si="8"/>
        <v>0</v>
      </c>
      <c r="C244" s="451">
        <f t="shared" si="9"/>
        <v>0</v>
      </c>
      <c r="D244" s="454"/>
      <c r="E244" s="455"/>
    </row>
    <row r="245" spans="1:5" x14ac:dyDescent="0.3">
      <c r="A245" s="447">
        <v>30</v>
      </c>
      <c r="B245" s="450">
        <f t="shared" si="8"/>
        <v>0</v>
      </c>
      <c r="C245" s="451">
        <f t="shared" si="9"/>
        <v>0</v>
      </c>
      <c r="D245" s="454"/>
      <c r="E245" s="455"/>
    </row>
    <row r="246" spans="1:5" x14ac:dyDescent="0.3">
      <c r="A246" s="447">
        <v>35</v>
      </c>
      <c r="B246" s="450">
        <f t="shared" si="8"/>
        <v>0</v>
      </c>
      <c r="C246" s="451">
        <f t="shared" si="9"/>
        <v>0</v>
      </c>
      <c r="D246" s="454"/>
      <c r="E246" s="455"/>
    </row>
    <row r="247" spans="1:5" x14ac:dyDescent="0.3">
      <c r="A247" s="447">
        <v>40</v>
      </c>
      <c r="B247" s="450">
        <f t="shared" si="8"/>
        <v>0</v>
      </c>
      <c r="C247" s="451">
        <f t="shared" si="9"/>
        <v>0</v>
      </c>
      <c r="D247" s="454"/>
      <c r="E247" s="455"/>
    </row>
    <row r="248" spans="1:5" x14ac:dyDescent="0.3">
      <c r="A248" s="447"/>
      <c r="B248" s="450">
        <f t="shared" si="8"/>
        <v>0</v>
      </c>
      <c r="C248" s="451">
        <f t="shared" si="9"/>
        <v>0</v>
      </c>
      <c r="D248" s="454"/>
      <c r="E248" s="455"/>
    </row>
    <row r="249" spans="1:5" ht="15" thickBot="1" x14ac:dyDescent="0.35">
      <c r="A249" s="448"/>
      <c r="B249" s="450">
        <f t="shared" si="8"/>
        <v>0</v>
      </c>
      <c r="C249" s="458">
        <f t="shared" si="9"/>
        <v>0</v>
      </c>
      <c r="D249" s="462"/>
      <c r="E249" s="463"/>
    </row>
    <row r="250" spans="1:5" ht="15" thickBot="1" x14ac:dyDescent="0.35">
      <c r="B250" s="465">
        <f>SUM(B239:B249)</f>
        <v>0</v>
      </c>
      <c r="C250" s="465">
        <f t="shared" ref="C250:E250" si="10">SUM(C239:C249)</f>
        <v>0</v>
      </c>
      <c r="D250" s="465">
        <f t="shared" si="10"/>
        <v>0</v>
      </c>
      <c r="E250" s="464">
        <f t="shared" si="10"/>
        <v>0</v>
      </c>
    </row>
    <row r="252" spans="1:5" x14ac:dyDescent="0.3">
      <c r="C252" s="39"/>
    </row>
    <row r="253" spans="1:5" x14ac:dyDescent="0.3">
      <c r="C253" s="39"/>
    </row>
  </sheetData>
  <mergeCells count="17">
    <mergeCell ref="A230:E230"/>
    <mergeCell ref="C236:D236"/>
    <mergeCell ref="E236:E238"/>
    <mergeCell ref="A26:C26"/>
    <mergeCell ref="C30:D30"/>
    <mergeCell ref="C31:G31"/>
    <mergeCell ref="C34:G34"/>
    <mergeCell ref="C29:J29"/>
    <mergeCell ref="A199:C199"/>
    <mergeCell ref="D209:E209"/>
    <mergeCell ref="F209:F211"/>
    <mergeCell ref="A36:G36"/>
    <mergeCell ref="A6:D6"/>
    <mergeCell ref="A37:D37"/>
    <mergeCell ref="A1:J3"/>
    <mergeCell ref="A5:E5"/>
    <mergeCell ref="A203:E203"/>
  </mergeCells>
  <phoneticPr fontId="43" type="noConversion"/>
  <dataValidations count="1">
    <dataValidation type="list" allowBlank="1" showInputMessage="1" showErrorMessage="1" sqref="A43:A197" xr:uid="{15717687-3ADD-42BE-A349-1C35CF2F973D}">
      <formula1>$A$8:$A$24</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4">
    <tabColor rgb="FF92D050"/>
  </sheetPr>
  <dimension ref="A1:L249"/>
  <sheetViews>
    <sheetView workbookViewId="0">
      <selection activeCell="B8" sqref="B8"/>
    </sheetView>
  </sheetViews>
  <sheetFormatPr defaultRowHeight="14.4" x14ac:dyDescent="0.3"/>
  <cols>
    <col min="1" max="1" width="65.109375" customWidth="1"/>
    <col min="2" max="2" width="18.44140625" customWidth="1"/>
  </cols>
  <sheetData>
    <row r="1" spans="1:2" x14ac:dyDescent="0.3">
      <c r="A1" s="169" t="s">
        <v>1714</v>
      </c>
      <c r="B1" s="169" t="s">
        <v>1312</v>
      </c>
    </row>
    <row r="2" spans="1:2" x14ac:dyDescent="0.3">
      <c r="A2" s="1"/>
      <c r="B2" s="1"/>
    </row>
    <row r="3" spans="1:2" x14ac:dyDescent="0.3">
      <c r="A3" s="91" t="s">
        <v>1313</v>
      </c>
      <c r="B3" s="1"/>
    </row>
    <row r="4" spans="1:2" x14ac:dyDescent="0.3">
      <c r="A4" s="1"/>
      <c r="B4" s="1"/>
    </row>
    <row r="5" spans="1:2" ht="47.25" customHeight="1" x14ac:dyDescent="0.3">
      <c r="A5" s="93" t="s">
        <v>1314</v>
      </c>
    </row>
    <row r="6" spans="1:2" x14ac:dyDescent="0.3">
      <c r="A6" s="93" t="s">
        <v>1315</v>
      </c>
    </row>
    <row r="7" spans="1:2" x14ac:dyDescent="0.3">
      <c r="A7" s="93" t="s">
        <v>1316</v>
      </c>
    </row>
    <row r="8" spans="1:2" x14ac:dyDescent="0.3">
      <c r="A8" s="93" t="s">
        <v>1317</v>
      </c>
    </row>
    <row r="9" spans="1:2" x14ac:dyDescent="0.3">
      <c r="A9" s="93" t="s">
        <v>1318</v>
      </c>
    </row>
    <row r="10" spans="1:2" x14ac:dyDescent="0.3">
      <c r="A10" s="93" t="s">
        <v>1319</v>
      </c>
    </row>
    <row r="11" spans="1:2" x14ac:dyDescent="0.3">
      <c r="A11" s="93" t="s">
        <v>1588</v>
      </c>
    </row>
    <row r="13" spans="1:2" ht="28.8" x14ac:dyDescent="0.3">
      <c r="A13" s="93" t="s">
        <v>1320</v>
      </c>
    </row>
    <row r="208" spans="8:8" ht="144" x14ac:dyDescent="0.3">
      <c r="H208" s="81" t="s">
        <v>1321</v>
      </c>
    </row>
    <row r="230" spans="8:12" x14ac:dyDescent="0.3">
      <c r="H230">
        <f>MIN(IF(F230&lt;$F$38,1.15*$F$38,1.15*F230),G230)</f>
        <v>0</v>
      </c>
    </row>
    <row r="239" spans="8:12" x14ac:dyDescent="0.3">
      <c r="L239" t="str">
        <f>J228 &amp;
" (kolom J)
- forfait 5,11 euro
= Nettodagprijs na bescherming (kolom H)"</f>
        <v xml:space="preserve"> (kolom J)
- forfait 5,11 euro
= Nettodagprijs na bescherming (kolom H)</v>
      </c>
    </row>
    <row r="245" spans="12:12" x14ac:dyDescent="0.3">
      <c r="L245" s="37" t="s">
        <v>1322</v>
      </c>
    </row>
    <row r="248" spans="12:12" x14ac:dyDescent="0.3">
      <c r="L248" t="s">
        <v>1323</v>
      </c>
    </row>
    <row r="249" spans="12:12" x14ac:dyDescent="0.3">
      <c r="L249" t="s">
        <v>1324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ZG Document" ma:contentTypeID="0x010100E5B23CBEC15EF443818A347F7744E75800CC12ACB92409D34B8457AA40DD86D830" ma:contentTypeVersion="0" ma:contentTypeDescription="Het basis content type “ZG Document” is een basis voor content types voor in documentbibliotheken." ma:contentTypeScope="" ma:versionID="fe6705f87d0035115e86a2c80a38edc0">
  <xsd:schema xmlns:xsd="http://www.w3.org/2001/XMLSchema" xmlns:xs="http://www.w3.org/2001/XMLSchema" xmlns:p="http://schemas.microsoft.com/office/2006/metadata/properties" xmlns:ns2="9a9ec0f0-7796-43d0-ac1f-4c8c46ee0bd1" targetNamespace="http://schemas.microsoft.com/office/2006/metadata/properties" ma:root="true" ma:fieldsID="80dd881efae0653477fe4de97aa516e4" ns2:_="">
    <xsd:import namespace="9a9ec0f0-7796-43d0-ac1f-4c8c46ee0bd1"/>
    <xsd:element name="properties">
      <xsd:complexType>
        <xsd:sequence>
          <xsd:element name="documentManagement">
            <xsd:complexType>
              <xsd:all>
                <xsd:element ref="ns2:i2d81646cf3b4af085db4e59f76b2271" minOccurs="0"/>
                <xsd:element ref="ns2:TaxCatchAll" minOccurs="0"/>
                <xsd:element ref="ns2:TaxCatchAllLabel" minOccurs="0"/>
                <xsd:element ref="ns2:g3014de8249d42afad66165e3d2261e7"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i2d81646cf3b4af085db4e59f76b2271" ma:index="8" nillable="true" ma:taxonomy="true" ma:internalName="i2d81646cf3b4af085db4e59f76b2271" ma:taxonomyFieldName="ZG_x0020_Thema" ma:displayName="ZG Thema" ma:default="" ma:fieldId="{22d81646-cf3b-4af0-85db-4e59f76b2271}" ma:taxonomyMulti="true" ma:sspId="49ca8161-7180-459b-a0ef-1a71cf6ffea5" ma:termSetId="7fe39be1-420a-4760-9a61-3e6b46397d58"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f3f1a0b-e239-4cb7-8a38-872c86642cbf}" ma:internalName="TaxCatchAll" ma:showField="CatchAllData" ma:web="b1fbe6bc-579c-47af-b031-4320ec39a43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f3f1a0b-e239-4cb7-8a38-872c86642cbf}" ma:internalName="TaxCatchAllLabel" ma:readOnly="true" ma:showField="CatchAllDataLabel" ma:web="b1fbe6bc-579c-47af-b031-4320ec39a433">
      <xsd:complexType>
        <xsd:complexContent>
          <xsd:extension base="dms:MultiChoiceLookup">
            <xsd:sequence>
              <xsd:element name="Value" type="dms:Lookup" maxOccurs="unbounded" minOccurs="0" nillable="true"/>
            </xsd:sequence>
          </xsd:extension>
        </xsd:complexContent>
      </xsd:complexType>
    </xsd:element>
    <xsd:element name="g3014de8249d42afad66165e3d2261e7" ma:index="12" nillable="true" ma:taxonomy="true" ma:internalName="g3014de8249d42afad66165e3d2261e7" ma:taxonomyFieldName="ZG_x0020_Subthema" ma:displayName="ZG Subthema" ma:default="" ma:fieldId="{03014de8-249d-42af-ad66-165e3d2261e7}" ma:taxonomyMulti="true" ma:sspId="49ca8161-7180-459b-a0ef-1a71cf6ffea5" ma:termSetId="d7c685f0-dcff-44f7-afae-a3a295cca2e8" ma:anchorId="00000000-0000-0000-0000-000000000000"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49ca8161-7180-459b-a0ef-1a71cf6ffea5" ContentTypeId="0x010100E5B23CBEC15EF443818A347F7744E758" PreviousValue="false" LastSyncTimeStamp="2016-09-06T09:17:30.09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3014de8249d42afad66165e3d2261e7 xmlns="9a9ec0f0-7796-43d0-ac1f-4c8c46ee0bd1">
      <Terms xmlns="http://schemas.microsoft.com/office/infopath/2007/PartnerControls">
        <TermInfo xmlns="http://schemas.microsoft.com/office/infopath/2007/PartnerControls">
          <TermName xmlns="http://schemas.microsoft.com/office/infopath/2007/PartnerControls">Financieren</TermName>
          <TermId xmlns="http://schemas.microsoft.com/office/infopath/2007/PartnerControls">ae0a1f0b-0cc0-4f76-b35e-89e4eabba02d</TermId>
        </TermInfo>
      </Terms>
    </g3014de8249d42afad66165e3d2261e7>
    <i2d81646cf3b4af085db4e59f76b2271 xmlns="9a9ec0f0-7796-43d0-ac1f-4c8c46ee0bd1">
      <Terms xmlns="http://schemas.microsoft.com/office/infopath/2007/PartnerControls">
        <TermInfo xmlns="http://schemas.microsoft.com/office/infopath/2007/PartnerControls">
          <TermName xmlns="http://schemas.microsoft.com/office/infopath/2007/PartnerControls">Ouderenzorg</TermName>
          <TermId xmlns="http://schemas.microsoft.com/office/infopath/2007/PartnerControls">eaa977fe-4ac9-4506-bbb1-4e81709afd43</TermId>
        </TermInfo>
      </Terms>
    </i2d81646cf3b4af085db4e59f76b2271>
    <TaxCatchAll xmlns="9a9ec0f0-7796-43d0-ac1f-4c8c46ee0bd1">
      <Value>163</Value>
      <Value>6</Value>
    </TaxCatchAll>
  </documentManagement>
</p:properties>
</file>

<file path=customXml/itemProps1.xml><?xml version="1.0" encoding="utf-8"?>
<ds:datastoreItem xmlns:ds="http://schemas.openxmlformats.org/officeDocument/2006/customXml" ds:itemID="{CB6B2241-592C-4EE0-9379-1C08B8A22C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9ec0f0-7796-43d0-ac1f-4c8c46ee0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7EAE7B-DCD9-455A-8845-30D1BFD00C4D}">
  <ds:schemaRefs>
    <ds:schemaRef ds:uri="Microsoft.SharePoint.Taxonomy.ContentTypeSync"/>
  </ds:schemaRefs>
</ds:datastoreItem>
</file>

<file path=customXml/itemProps3.xml><?xml version="1.0" encoding="utf-8"?>
<ds:datastoreItem xmlns:ds="http://schemas.openxmlformats.org/officeDocument/2006/customXml" ds:itemID="{43863710-AD39-4C00-9F6F-2E43204B4D9A}">
  <ds:schemaRefs>
    <ds:schemaRef ds:uri="http://schemas.microsoft.com/sharepoint/v3/contenttype/forms"/>
  </ds:schemaRefs>
</ds:datastoreItem>
</file>

<file path=customXml/itemProps4.xml><?xml version="1.0" encoding="utf-8"?>
<ds:datastoreItem xmlns:ds="http://schemas.openxmlformats.org/officeDocument/2006/customXml" ds:itemID="{0EA8742A-0155-4E63-909A-641CFF80FEC5}">
  <ds:schemaRef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9a9ec0f0-7796-43d0-ac1f-4c8c46ee0bd1"/>
    <ds:schemaRef ds:uri="http://www.w3.org/XML/1998/namespace"/>
    <ds:schemaRef ds:uri="http://purl.org/dc/dcmitype/"/>
  </ds:schemaRefs>
</ds:datastoreItem>
</file>

<file path=docMetadata/LabelInfo.xml><?xml version="1.0" encoding="utf-8"?>
<clbl:labelList xmlns:clbl="http://schemas.microsoft.com/office/2020/mipLabelMetadata">
  <clbl:label id="{0c0338a6-9561-4ee8-b8d6-4e89cbd520a0}" enabled="0" method="" siteId="{0c0338a6-9561-4ee8-b8d6-4e89cbd520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45</vt:i4>
      </vt:variant>
    </vt:vector>
  </HeadingPairs>
  <TitlesOfParts>
    <vt:vector size="57" baseType="lpstr">
      <vt:lpstr>Algemene richtlijnen</vt:lpstr>
      <vt:lpstr>Generieke input</vt:lpstr>
      <vt:lpstr>Parameters+keuzes</vt:lpstr>
      <vt:lpstr>OLO-basis</vt:lpstr>
      <vt:lpstr>1A-Infrastructuur met forfait</vt:lpstr>
      <vt:lpstr>1B-Infra zonder forfait</vt:lpstr>
      <vt:lpstr>Formulier 2</vt:lpstr>
      <vt:lpstr>Bijlage investeringsoverzicht</vt:lpstr>
      <vt:lpstr>Bijlage extra vergoedingen</vt:lpstr>
      <vt:lpstr>Checklist overheidstussenkomst</vt:lpstr>
      <vt:lpstr>Checklist_prijsaanvraag</vt:lpstr>
      <vt:lpstr>Output</vt:lpstr>
      <vt:lpstr>'Formulier 2'!Afdrukbereik</vt:lpstr>
      <vt:lpstr>Output!Afdrukbereik</vt:lpstr>
      <vt:lpstr>'1A-Infrastructuur met forfait'!afschrijvingsduur_meubilair</vt:lpstr>
      <vt:lpstr>'1A-Infrastructuur met forfait'!afschrijvingsduur_nieuwbouw</vt:lpstr>
      <vt:lpstr>'1A-Infrastructuur met forfait'!bezettingsgraad_meubilair</vt:lpstr>
      <vt:lpstr>'1A-Infrastructuur met forfait'!bezettingsgraad_werken</vt:lpstr>
      <vt:lpstr>'1B-Infra zonder forfait'!bezettingsgraad_werken</vt:lpstr>
      <vt:lpstr>'1A-Infrastructuur met forfait'!bouwkost_fin_meubilair</vt:lpstr>
      <vt:lpstr>'1A-Infrastructuur met forfait'!bouwkost_fin_werken</vt:lpstr>
      <vt:lpstr>'1A-Infrastructuur met forfait'!bouwkost_meubilair</vt:lpstr>
      <vt:lpstr>'1A-Infrastructuur met forfait'!bouwkost_netto_werken</vt:lpstr>
      <vt:lpstr>'1A-Infrastructuur met forfait'!bouwkost_werken</vt:lpstr>
      <vt:lpstr>'1B-Infra zonder forfait'!bouwkost_werken</vt:lpstr>
      <vt:lpstr>'1A-Infrastructuur met forfait'!bouwkost_werken_meubilair</vt:lpstr>
      <vt:lpstr>'1A-Infrastructuur met forfait'!BTWrecuperatie_meubilair</vt:lpstr>
      <vt:lpstr>'1A-Infrastructuur met forfait'!BTWrecuperatie_werken</vt:lpstr>
      <vt:lpstr>capexgaw</vt:lpstr>
      <vt:lpstr>capforfait</vt:lpstr>
      <vt:lpstr>capzoforfait</vt:lpstr>
      <vt:lpstr>controle</vt:lpstr>
      <vt:lpstr>'1A-Infrastructuur met forfait'!erkende_plaatsen1</vt:lpstr>
      <vt:lpstr>'1B-Infra zonder forfait'!erkende_plaatsen1</vt:lpstr>
      <vt:lpstr>'1A-Infrastructuur met forfait'!erkendeplaatsen_2</vt:lpstr>
      <vt:lpstr>exGAW</vt:lpstr>
      <vt:lpstr>'1A-Infrastructuur met forfait'!financieringskost_meubilair</vt:lpstr>
      <vt:lpstr>'1A-Infrastructuur met forfait'!financieringskost_werken</vt:lpstr>
      <vt:lpstr>forfait</vt:lpstr>
      <vt:lpstr>forfait2</vt:lpstr>
      <vt:lpstr>generiek</vt:lpstr>
      <vt:lpstr>infra_exforfait</vt:lpstr>
      <vt:lpstr>infraforfait</vt:lpstr>
      <vt:lpstr>'1A-Infrastructuur met forfait'!infrakost_verblijfsdag_meubilair</vt:lpstr>
      <vt:lpstr>'1A-Infrastructuur met forfait'!infrakost_verblijfsdag_werken</vt:lpstr>
      <vt:lpstr>'1B-Infra zonder forfait'!infrakost_verblijfsdag_werken</vt:lpstr>
      <vt:lpstr>'1A-Infrastructuur met forfait'!infrastructuurcomponent_dagprijs</vt:lpstr>
      <vt:lpstr>'1A-Infrastructuur met forfait'!kapitaalsubsidie_meubilair</vt:lpstr>
      <vt:lpstr>'1A-Infrastructuur met forfait'!kapitaalsubsidie_nieuwbouw</vt:lpstr>
      <vt:lpstr>'1A-Infrastructuur met forfait'!nettobouwkost_meubilair</vt:lpstr>
      <vt:lpstr>'1A-Infrastructuur met forfait'!nettobouwkost_werken</vt:lpstr>
      <vt:lpstr>'1A-Infrastructuur met forfait'!onroerende_voorheffing</vt:lpstr>
      <vt:lpstr>output</vt:lpstr>
      <vt:lpstr>RIZIV</vt:lpstr>
      <vt:lpstr>supplement</vt:lpstr>
      <vt:lpstr>uitleg_clausule</vt:lpstr>
      <vt:lpstr>uitleg_clausule_2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Mahieu, Saskia</dc:creator>
  <cp:keywords/>
  <dc:description/>
  <cp:lastModifiedBy>Vermeiren Nico</cp:lastModifiedBy>
  <cp:revision/>
  <cp:lastPrinted>2025-09-11T07:16:07Z</cp:lastPrinted>
  <dcterms:created xsi:type="dcterms:W3CDTF">2014-04-16T14:32:52Z</dcterms:created>
  <dcterms:modified xsi:type="dcterms:W3CDTF">2025-09-23T07:40:25Z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MyDocuments">
    <vt:bool>true</vt:bool>
  </property>
  <property fmtid="{D5CDD505-2E9C-101B-9397-08002B2CF9AE}" pid="3" name="ContentTypeId">
    <vt:lpwstr>0x010100E5B23CBEC15EF443818A347F7744E75800CC12ACB92409D34B8457AA40DD86D830</vt:lpwstr>
  </property>
  <property fmtid="{D5CDD505-2E9C-101B-9397-08002B2CF9AE}" pid="4" name="ZG Subthema">
    <vt:lpwstr>163;#Financieren|ae0a1f0b-0cc0-4f76-b35e-89e4eabba02d</vt:lpwstr>
  </property>
  <property fmtid="{D5CDD505-2E9C-101B-9397-08002B2CF9AE}" pid="5" name="g3014de8249d42afad66165e3d2261e7">
    <vt:lpwstr>Financieren|ae0a1f0b-0cc0-4f76-b35e-89e4eabba02d</vt:lpwstr>
  </property>
  <property fmtid="{D5CDD505-2E9C-101B-9397-08002B2CF9AE}" pid="6" name="TaxCatchAll">
    <vt:lpwstr>5;#Financieren|ae0a1f0b-0cc0-4f76-b35e-89e4eabba02d;#1;#Ouderenzorg|eaa977fe-4ac9-4506-bbb1-4e81709afd43</vt:lpwstr>
  </property>
  <property fmtid="{D5CDD505-2E9C-101B-9397-08002B2CF9AE}" pid="7" name="i2d81646cf3b4af085db4e59f76b2271">
    <vt:lpwstr>Ouderenzorg|eaa977fe-4ac9-4506-bbb1-4e81709afd43</vt:lpwstr>
  </property>
  <property fmtid="{D5CDD505-2E9C-101B-9397-08002B2CF9AE}" pid="8" name="ZG Thema">
    <vt:lpwstr>6;#Ouderenzorg|eaa977fe-4ac9-4506-bbb1-4e81709afd43</vt:lpwstr>
  </property>
</Properties>
</file>