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cdfc081cd90654/Desktop/CSquared Partners/Lux Capital/China EV Game/FINAL LUX2024_Riskgaming_Booklet03_PoweringUp_R11 Folder-20241031T111936Z-001/"/>
    </mc:Choice>
  </mc:AlternateContent>
  <xr:revisionPtr revIDLastSave="14" documentId="8_{FD69B4CF-5094-4109-96BA-FE7B8B3DA8F8}" xr6:coauthVersionLast="47" xr6:coauthVersionMax="47" xr10:uidLastSave="{3CF17806-FA42-40A7-BE92-E5B1E8DD4429}"/>
  <bookViews>
    <workbookView xWindow="-100" yWindow="-100" windowWidth="21467" windowHeight="11443" tabRatio="825" activeTab="1" xr2:uid="{B2451A1E-0FB6-4FEB-9BD1-DB9994482FA1}"/>
  </bookViews>
  <sheets>
    <sheet name="Investment Calc Reveal" sheetId="8" r:id="rId1"/>
    <sheet name=" CCGR Reveal" sheetId="11" r:id="rId2"/>
    <sheet name="Scene 1" sheetId="2" r:id="rId3"/>
    <sheet name="Scene 2" sheetId="3" r:id="rId4"/>
    <sheet name="Scene 3" sheetId="4" r:id="rId5"/>
    <sheet name="Scene 4" sheetId="5" r:id="rId6"/>
    <sheet name="Scene 5" sheetId="6" r:id="rId7"/>
    <sheet name="Scene 6" sheetId="7" r:id="rId8"/>
    <sheet name="Scene 7" sheetId="10" r:id="rId9"/>
    <sheet name="Final Scores" sheetId="20" r:id="rId10"/>
    <sheet name="BACKGROUND Calcs" sheetId="19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C60" i="19"/>
  <c r="N11" i="10"/>
  <c r="N11" i="7"/>
  <c r="N11" i="6"/>
  <c r="N11" i="5"/>
  <c r="N11" i="4"/>
  <c r="N11" i="3"/>
  <c r="N11" i="2"/>
  <c r="J4" i="11"/>
  <c r="J5" i="11"/>
  <c r="J6" i="11"/>
  <c r="J7" i="11"/>
  <c r="J8" i="11"/>
  <c r="J9" i="11"/>
  <c r="J10" i="11"/>
  <c r="I4" i="11"/>
  <c r="I10" i="11"/>
  <c r="I9" i="11"/>
  <c r="I8" i="11"/>
  <c r="I7" i="11"/>
  <c r="I6" i="11"/>
  <c r="I5" i="11"/>
  <c r="K12" i="10"/>
  <c r="K12" i="7"/>
  <c r="K12" i="6"/>
  <c r="J12" i="10"/>
  <c r="J12" i="7"/>
  <c r="J12" i="6"/>
  <c r="J12" i="5"/>
  <c r="K12" i="5"/>
  <c r="K4" i="10"/>
  <c r="K4" i="7"/>
  <c r="K4" i="6"/>
  <c r="K4" i="5"/>
  <c r="F57" i="19" s="1"/>
  <c r="E57" i="19"/>
  <c r="D57" i="19"/>
  <c r="K4" i="4" s="1"/>
  <c r="C57" i="19"/>
  <c r="K4" i="3" s="1"/>
  <c r="J4" i="4"/>
  <c r="K12" i="4"/>
  <c r="K6" i="3"/>
  <c r="K11" i="3" s="1"/>
  <c r="K7" i="3"/>
  <c r="J7" i="10"/>
  <c r="J6" i="10"/>
  <c r="J11" i="10" s="1"/>
  <c r="J11" i="7"/>
  <c r="J7" i="7"/>
  <c r="J6" i="7"/>
  <c r="J11" i="6"/>
  <c r="J7" i="6"/>
  <c r="J6" i="6"/>
  <c r="J11" i="5"/>
  <c r="J7" i="5"/>
  <c r="J6" i="5"/>
  <c r="J11" i="4"/>
  <c r="J7" i="4"/>
  <c r="J6" i="4"/>
  <c r="J12" i="3"/>
  <c r="J4" i="3"/>
  <c r="J12" i="2"/>
  <c r="G4" i="3"/>
  <c r="C54" i="19"/>
  <c r="G21" i="10"/>
  <c r="D21" i="10"/>
  <c r="B21" i="10"/>
  <c r="G21" i="7"/>
  <c r="D21" i="7"/>
  <c r="B21" i="7"/>
  <c r="G21" i="6"/>
  <c r="D21" i="6"/>
  <c r="B21" i="6"/>
  <c r="G21" i="5"/>
  <c r="D21" i="5"/>
  <c r="B21" i="5"/>
  <c r="G21" i="4"/>
  <c r="D21" i="4"/>
  <c r="B21" i="4"/>
  <c r="G21" i="3"/>
  <c r="D21" i="3"/>
  <c r="B21" i="3"/>
  <c r="G21" i="2"/>
  <c r="D21" i="2"/>
  <c r="B21" i="2"/>
  <c r="D4" i="20"/>
  <c r="G4" i="20"/>
  <c r="B4" i="20"/>
  <c r="C4" i="20"/>
  <c r="J4" i="20"/>
  <c r="K4" i="20"/>
  <c r="L4" i="20"/>
  <c r="O4" i="20"/>
  <c r="C46" i="19"/>
  <c r="J7" i="2"/>
  <c r="K6" i="2"/>
  <c r="J6" i="2"/>
  <c r="N4" i="3" l="1"/>
  <c r="D60" i="19" s="1"/>
  <c r="K12" i="3"/>
  <c r="K12" i="2"/>
  <c r="C51" i="19"/>
  <c r="H4" i="11" s="1"/>
  <c r="K7" i="10"/>
  <c r="K7" i="7"/>
  <c r="K7" i="6"/>
  <c r="K7" i="5"/>
  <c r="K7" i="4"/>
  <c r="K7" i="2"/>
  <c r="N6" i="5"/>
  <c r="J7" i="3"/>
  <c r="C32" i="19"/>
  <c r="C14" i="19"/>
  <c r="C48" i="19"/>
  <c r="D42" i="19"/>
  <c r="C44" i="19" l="1"/>
  <c r="G22" i="2"/>
  <c r="C15" i="19"/>
  <c r="C8" i="19"/>
  <c r="D8" i="19" s="1"/>
  <c r="C7" i="19"/>
  <c r="D7" i="19" s="1"/>
  <c r="E7" i="19" s="1"/>
  <c r="F7" i="19" s="1"/>
  <c r="G7" i="19" s="1"/>
  <c r="H7" i="19" s="1"/>
  <c r="I7" i="19" s="1"/>
  <c r="J6" i="3"/>
  <c r="J11" i="3" s="1"/>
  <c r="N6" i="3"/>
  <c r="I46" i="19"/>
  <c r="H46" i="19"/>
  <c r="G46" i="19"/>
  <c r="F46" i="19"/>
  <c r="E46" i="19"/>
  <c r="D46" i="19"/>
  <c r="I18" i="19"/>
  <c r="H18" i="19"/>
  <c r="G18" i="19"/>
  <c r="F18" i="19"/>
  <c r="E18" i="19"/>
  <c r="D18" i="19"/>
  <c r="I32" i="19"/>
  <c r="H32" i="19"/>
  <c r="G32" i="19"/>
  <c r="F32" i="19"/>
  <c r="E32" i="19"/>
  <c r="D32" i="19"/>
  <c r="C34" i="19"/>
  <c r="C35" i="19" s="1"/>
  <c r="D34" i="19" s="1"/>
  <c r="C20" i="19"/>
  <c r="C21" i="19" s="1"/>
  <c r="D5" i="19"/>
  <c r="E5" i="19" s="1"/>
  <c r="F5" i="19" s="1"/>
  <c r="G5" i="19" s="1"/>
  <c r="H5" i="19" s="1"/>
  <c r="I5" i="19" s="1"/>
  <c r="D6" i="19"/>
  <c r="E6" i="19" s="1"/>
  <c r="F6" i="19" s="1"/>
  <c r="G6" i="19" s="1"/>
  <c r="H6" i="19" s="1"/>
  <c r="I6" i="19" s="1"/>
  <c r="I43" i="19"/>
  <c r="H43" i="19"/>
  <c r="G43" i="19"/>
  <c r="F43" i="19"/>
  <c r="E43" i="19"/>
  <c r="D43" i="19"/>
  <c r="I29" i="19"/>
  <c r="H29" i="19"/>
  <c r="G29" i="19"/>
  <c r="F29" i="19"/>
  <c r="E29" i="19"/>
  <c r="D29" i="19"/>
  <c r="I15" i="19"/>
  <c r="H15" i="19"/>
  <c r="G15" i="19"/>
  <c r="F15" i="19"/>
  <c r="E15" i="19"/>
  <c r="D15" i="19"/>
  <c r="C18" i="19"/>
  <c r="D48" i="19"/>
  <c r="J3" i="11"/>
  <c r="N6" i="10"/>
  <c r="K6" i="10"/>
  <c r="K11" i="10" s="1"/>
  <c r="N6" i="7"/>
  <c r="K6" i="7"/>
  <c r="K11" i="7" s="1"/>
  <c r="N6" i="6"/>
  <c r="K6" i="6"/>
  <c r="K11" i="6" s="1"/>
  <c r="K6" i="5"/>
  <c r="K11" i="5" s="1"/>
  <c r="N6" i="4"/>
  <c r="K6" i="4"/>
  <c r="K11" i="4" s="1"/>
  <c r="N6" i="2"/>
  <c r="K3" i="11"/>
  <c r="I3" i="11"/>
  <c r="C13" i="19"/>
  <c r="C43" i="19"/>
  <c r="B10" i="20" l="1"/>
  <c r="J8" i="20"/>
  <c r="C38" i="19"/>
  <c r="C24" i="19"/>
  <c r="F4" i="11" s="1"/>
  <c r="J10" i="20"/>
  <c r="O6" i="20" s="1"/>
  <c r="E48" i="19"/>
  <c r="D10" i="19"/>
  <c r="D50" i="19" s="1"/>
  <c r="C9" i="19"/>
  <c r="C49" i="19" s="1"/>
  <c r="E8" i="19"/>
  <c r="C10" i="19"/>
  <c r="C50" i="19" s="1"/>
  <c r="D9" i="19"/>
  <c r="D49" i="19" s="1"/>
  <c r="D20" i="19"/>
  <c r="E20" i="19" s="1"/>
  <c r="F20" i="19" s="1"/>
  <c r="G20" i="19" s="1"/>
  <c r="H20" i="19" s="1"/>
  <c r="I20" i="19" s="1"/>
  <c r="D35" i="19"/>
  <c r="C4" i="19"/>
  <c r="D4" i="19"/>
  <c r="E4" i="19"/>
  <c r="F4" i="19"/>
  <c r="F31" i="19" s="1"/>
  <c r="G4" i="19"/>
  <c r="G17" i="19" s="1"/>
  <c r="H4" i="19"/>
  <c r="H31" i="19" s="1"/>
  <c r="I4" i="19"/>
  <c r="I17" i="19" s="1"/>
  <c r="C29" i="19"/>
  <c r="I13" i="19"/>
  <c r="H13" i="19"/>
  <c r="G13" i="19"/>
  <c r="F13" i="19"/>
  <c r="E13" i="19"/>
  <c r="D13" i="19"/>
  <c r="C27" i="19"/>
  <c r="D27" i="19"/>
  <c r="E27" i="19"/>
  <c r="I42" i="19"/>
  <c r="H42" i="19"/>
  <c r="G42" i="19"/>
  <c r="F42" i="19"/>
  <c r="E42" i="19"/>
  <c r="C42" i="19"/>
  <c r="I28" i="19"/>
  <c r="H28" i="19"/>
  <c r="G28" i="19"/>
  <c r="F28" i="19"/>
  <c r="E28" i="19"/>
  <c r="D28" i="19"/>
  <c r="C28" i="19"/>
  <c r="I14" i="19"/>
  <c r="H14" i="19"/>
  <c r="G14" i="19"/>
  <c r="F14" i="19"/>
  <c r="E14" i="19"/>
  <c r="D14" i="19"/>
  <c r="I3" i="19"/>
  <c r="H3" i="19"/>
  <c r="G3" i="19"/>
  <c r="F3" i="19"/>
  <c r="E3" i="19"/>
  <c r="D3" i="19"/>
  <c r="C3" i="19"/>
  <c r="I41" i="19"/>
  <c r="H41" i="19"/>
  <c r="G41" i="19"/>
  <c r="F41" i="19"/>
  <c r="E41" i="19"/>
  <c r="D41" i="19"/>
  <c r="C41" i="19"/>
  <c r="I27" i="19"/>
  <c r="H27" i="19"/>
  <c r="G27" i="19"/>
  <c r="F27" i="19"/>
  <c r="G6" i="20" l="1"/>
  <c r="G4" i="11"/>
  <c r="D22" i="2"/>
  <c r="D4" i="3"/>
  <c r="C30" i="19"/>
  <c r="B4" i="3"/>
  <c r="D24" i="19" s="1"/>
  <c r="F5" i="11" s="1"/>
  <c r="B22" i="2"/>
  <c r="C16" i="19"/>
  <c r="J11" i="2"/>
  <c r="B8" i="20"/>
  <c r="F48" i="19"/>
  <c r="F9" i="19" s="1"/>
  <c r="E9" i="19"/>
  <c r="E49" i="19" s="1"/>
  <c r="E10" i="19"/>
  <c r="E50" i="19" s="1"/>
  <c r="F8" i="19"/>
  <c r="C36" i="19"/>
  <c r="D26" i="2" s="1"/>
  <c r="D21" i="19"/>
  <c r="E34" i="19"/>
  <c r="F34" i="19" s="1"/>
  <c r="G34" i="19" s="1"/>
  <c r="H34" i="19" s="1"/>
  <c r="I34" i="19" s="1"/>
  <c r="E21" i="19"/>
  <c r="C17" i="19"/>
  <c r="D45" i="19"/>
  <c r="C31" i="19"/>
  <c r="E45" i="19"/>
  <c r="G45" i="19"/>
  <c r="D17" i="19"/>
  <c r="H17" i="19"/>
  <c r="F17" i="19"/>
  <c r="E17" i="19"/>
  <c r="I45" i="19"/>
  <c r="I31" i="19"/>
  <c r="H45" i="19"/>
  <c r="G31" i="19"/>
  <c r="F45" i="19"/>
  <c r="E31" i="19"/>
  <c r="D31" i="19"/>
  <c r="C45" i="19"/>
  <c r="N12" i="3" l="1"/>
  <c r="N4" i="4"/>
  <c r="K5" i="11"/>
  <c r="K4" i="11"/>
  <c r="D16" i="19"/>
  <c r="D19" i="19" s="1"/>
  <c r="B25" i="3" s="1"/>
  <c r="B4" i="4"/>
  <c r="E24" i="19" s="1"/>
  <c r="F6" i="11" s="1"/>
  <c r="B22" i="3"/>
  <c r="C47" i="19"/>
  <c r="G25" i="2" s="1"/>
  <c r="G48" i="19"/>
  <c r="F49" i="19"/>
  <c r="G8" i="19"/>
  <c r="F10" i="19"/>
  <c r="F50" i="19" s="1"/>
  <c r="G27" i="2"/>
  <c r="C23" i="19"/>
  <c r="B27" i="2" s="1"/>
  <c r="C37" i="19"/>
  <c r="D27" i="2" s="1"/>
  <c r="E35" i="19"/>
  <c r="F35" i="19"/>
  <c r="F21" i="19"/>
  <c r="G35" i="19"/>
  <c r="G26" i="2"/>
  <c r="D36" i="19"/>
  <c r="D26" i="3" s="1"/>
  <c r="G3" i="11"/>
  <c r="H3" i="11"/>
  <c r="F3" i="11"/>
  <c r="N12" i="4" l="1"/>
  <c r="E60" i="19"/>
  <c r="N4" i="5" s="1"/>
  <c r="F60" i="19" s="1"/>
  <c r="E16" i="19"/>
  <c r="E19" i="19" s="1"/>
  <c r="B25" i="4" s="1"/>
  <c r="B22" i="4"/>
  <c r="B4" i="5"/>
  <c r="F24" i="19" s="1"/>
  <c r="F7" i="11" s="1"/>
  <c r="K11" i="2"/>
  <c r="B9" i="20"/>
  <c r="J9" i="20"/>
  <c r="H48" i="19"/>
  <c r="G9" i="19"/>
  <c r="G49" i="19" s="1"/>
  <c r="H8" i="19"/>
  <c r="G10" i="19"/>
  <c r="G50" i="19" s="1"/>
  <c r="D23" i="19"/>
  <c r="B27" i="3" s="1"/>
  <c r="D37" i="19"/>
  <c r="D27" i="3" s="1"/>
  <c r="G21" i="19"/>
  <c r="I35" i="19"/>
  <c r="H35" i="19"/>
  <c r="G27" i="3"/>
  <c r="G26" i="3"/>
  <c r="E36" i="19"/>
  <c r="D26" i="4" s="1"/>
  <c r="E23" i="19"/>
  <c r="C33" i="19"/>
  <c r="D25" i="2" s="1"/>
  <c r="C19" i="19"/>
  <c r="B25" i="2" s="1"/>
  <c r="N12" i="5" l="1"/>
  <c r="N4" i="6"/>
  <c r="G60" i="19" s="1"/>
  <c r="K6" i="11"/>
  <c r="M4" i="20"/>
  <c r="N4" i="20"/>
  <c r="N6" i="20" s="1"/>
  <c r="E4" i="20"/>
  <c r="E6" i="20" s="1"/>
  <c r="F4" i="20"/>
  <c r="F6" i="20" s="1"/>
  <c r="M6" i="20"/>
  <c r="B22" i="5"/>
  <c r="B4" i="6"/>
  <c r="G24" i="19" s="1"/>
  <c r="F8" i="11" s="1"/>
  <c r="F16" i="19"/>
  <c r="F19" i="19" s="1"/>
  <c r="B25" i="5" s="1"/>
  <c r="D38" i="19"/>
  <c r="I48" i="19"/>
  <c r="H9" i="19"/>
  <c r="I8" i="19"/>
  <c r="H10" i="19"/>
  <c r="H50" i="19" s="1"/>
  <c r="E37" i="19"/>
  <c r="D27" i="4" s="1"/>
  <c r="I21" i="19"/>
  <c r="G27" i="4"/>
  <c r="B27" i="4"/>
  <c r="G26" i="4"/>
  <c r="F36" i="19"/>
  <c r="K7" i="11" l="1"/>
  <c r="N12" i="6"/>
  <c r="D30" i="19"/>
  <c r="G5" i="11"/>
  <c r="D22" i="3"/>
  <c r="D4" i="4"/>
  <c r="B4" i="7"/>
  <c r="H24" i="19" s="1"/>
  <c r="F9" i="11" s="1"/>
  <c r="G16" i="19"/>
  <c r="G19" i="19" s="1"/>
  <c r="B25" i="6" s="1"/>
  <c r="B22" i="6"/>
  <c r="I9" i="19"/>
  <c r="I10" i="19"/>
  <c r="I50" i="19" s="1"/>
  <c r="F23" i="19"/>
  <c r="B27" i="5" s="1"/>
  <c r="F37" i="19"/>
  <c r="D27" i="5" s="1"/>
  <c r="H21" i="19"/>
  <c r="D26" i="5"/>
  <c r="G27" i="5"/>
  <c r="G26" i="5"/>
  <c r="G36" i="19"/>
  <c r="K8" i="11" l="1"/>
  <c r="N4" i="7"/>
  <c r="H60" i="19" s="1"/>
  <c r="B4" i="10"/>
  <c r="I24" i="19" s="1"/>
  <c r="F10" i="11" s="1"/>
  <c r="H16" i="19"/>
  <c r="H19" i="19" s="1"/>
  <c r="B25" i="7" s="1"/>
  <c r="B22" i="7"/>
  <c r="G37" i="19"/>
  <c r="D27" i="6" s="1"/>
  <c r="G23" i="19"/>
  <c r="B27" i="6" s="1"/>
  <c r="G27" i="6"/>
  <c r="D26" i="6"/>
  <c r="G26" i="6"/>
  <c r="H36" i="19"/>
  <c r="H37" i="19"/>
  <c r="N12" i="7" l="1"/>
  <c r="I16" i="19"/>
  <c r="I19" i="19" s="1"/>
  <c r="B25" i="10" s="1"/>
  <c r="B22" i="10"/>
  <c r="H23" i="19"/>
  <c r="B27" i="7" s="1"/>
  <c r="G27" i="7"/>
  <c r="D27" i="7"/>
  <c r="D26" i="7"/>
  <c r="C5" i="20" s="1"/>
  <c r="H49" i="19"/>
  <c r="G26" i="7" s="1"/>
  <c r="D5" i="20" s="1"/>
  <c r="I36" i="19"/>
  <c r="K9" i="11" l="1"/>
  <c r="N4" i="10"/>
  <c r="I60" i="19" s="1"/>
  <c r="G57" i="19"/>
  <c r="B5" i="20"/>
  <c r="B6" i="20" s="1"/>
  <c r="D6" i="20"/>
  <c r="C6" i="20"/>
  <c r="I37" i="19"/>
  <c r="D27" i="10" s="1"/>
  <c r="I23" i="19"/>
  <c r="B27" i="10" s="1"/>
  <c r="G27" i="10"/>
  <c r="D26" i="10"/>
  <c r="K5" i="20" s="1"/>
  <c r="I49" i="19"/>
  <c r="G26" i="10" s="1"/>
  <c r="K10" i="11" l="1"/>
  <c r="N12" i="10"/>
  <c r="H57" i="19"/>
  <c r="L5" i="20"/>
  <c r="J5" i="20"/>
  <c r="J6" i="20" s="1"/>
  <c r="L6" i="20"/>
  <c r="K6" i="20"/>
  <c r="I57" i="19" l="1"/>
  <c r="D33" i="19"/>
  <c r="D25" i="3" s="1"/>
  <c r="E38" i="19" l="1"/>
  <c r="G6" i="11" s="1"/>
  <c r="E30" i="19" l="1"/>
  <c r="E33" i="19" s="1"/>
  <c r="D25" i="4" s="1"/>
  <c r="D4" i="5"/>
  <c r="D22" i="4"/>
  <c r="F38" i="19" l="1"/>
  <c r="G7" i="11" s="1"/>
  <c r="F30" i="19" l="1"/>
  <c r="F33" i="19" s="1"/>
  <c r="D25" i="5" s="1"/>
  <c r="D4" i="6"/>
  <c r="D22" i="5"/>
  <c r="G38" i="19" l="1"/>
  <c r="G8" i="11" s="1"/>
  <c r="G30" i="19" l="1"/>
  <c r="G33" i="19" s="1"/>
  <c r="D25" i="6" s="1"/>
  <c r="D4" i="7"/>
  <c r="D22" i="6"/>
  <c r="H38" i="19" l="1"/>
  <c r="G9" i="11" s="1"/>
  <c r="H30" i="19" l="1"/>
  <c r="H33" i="19" s="1"/>
  <c r="D25" i="7" s="1"/>
  <c r="D22" i="7"/>
  <c r="D4" i="10"/>
  <c r="I38" i="19" l="1"/>
  <c r="G10" i="11" s="1"/>
  <c r="I30" i="19" l="1"/>
  <c r="I33" i="19" s="1"/>
  <c r="D25" i="10" s="1"/>
  <c r="D22" i="10"/>
  <c r="D51" i="19"/>
  <c r="H5" i="11" s="1"/>
  <c r="D44" i="19" l="1"/>
  <c r="D47" i="19" s="1"/>
  <c r="G25" i="3" s="1"/>
  <c r="G4" i="4"/>
  <c r="G22" i="3"/>
  <c r="E51" i="19" l="1"/>
  <c r="H6" i="11" s="1"/>
  <c r="E44" i="19"/>
  <c r="E47" i="19" s="1"/>
  <c r="G25" i="4" s="1"/>
  <c r="G4" i="5"/>
  <c r="G22" i="4"/>
  <c r="F51" i="19" l="1"/>
  <c r="H7" i="11" s="1"/>
  <c r="F44" i="19" l="1"/>
  <c r="F47" i="19" s="1"/>
  <c r="G25" i="5" s="1"/>
  <c r="G4" i="6"/>
  <c r="G22" i="5"/>
  <c r="G51" i="19" l="1"/>
  <c r="H8" i="11" s="1"/>
  <c r="G44" i="19" l="1"/>
  <c r="G47" i="19" s="1"/>
  <c r="G25" i="6" s="1"/>
  <c r="G4" i="7"/>
  <c r="G22" i="6"/>
  <c r="H51" i="19" l="1"/>
  <c r="H9" i="11" s="1"/>
  <c r="H44" i="19" l="1"/>
  <c r="H47" i="19" s="1"/>
  <c r="G25" i="7" s="1"/>
  <c r="G4" i="10"/>
  <c r="G22" i="7"/>
  <c r="I51" i="19" l="1"/>
  <c r="H10" i="11" l="1"/>
  <c r="G22" i="10"/>
  <c r="I44" i="19"/>
  <c r="I47" i="19" s="1"/>
  <c r="G25" i="10" s="1"/>
  <c r="D54" i="19"/>
  <c r="E54" i="19" l="1"/>
  <c r="J12" i="4" l="1"/>
  <c r="J4" i="5"/>
  <c r="F54" i="19" s="1"/>
  <c r="J4" i="6" l="1"/>
  <c r="G54" i="19" s="1"/>
  <c r="J4" i="7" l="1"/>
  <c r="H54" i="19" s="1"/>
  <c r="J4" i="10" l="1"/>
  <c r="I54" i="19" s="1"/>
</calcChain>
</file>

<file path=xl/sharedStrings.xml><?xml version="1.0" encoding="utf-8"?>
<sst xmlns="http://schemas.openxmlformats.org/spreadsheetml/2006/main" count="638" uniqueCount="164">
  <si>
    <t xml:space="preserve"> </t>
  </si>
  <si>
    <t>Scene 1</t>
  </si>
  <si>
    <t>Scene 2</t>
  </si>
  <si>
    <t>Scene 3</t>
  </si>
  <si>
    <t>Scene 4</t>
  </si>
  <si>
    <t>Scene 5</t>
  </si>
  <si>
    <t>Scene 6</t>
  </si>
  <si>
    <t>Scene 7</t>
  </si>
  <si>
    <t>China Multiplier Calculation:</t>
  </si>
  <si>
    <t>Start CCGR</t>
  </si>
  <si>
    <t>End CCGR</t>
  </si>
  <si>
    <t>Information Calculation</t>
  </si>
  <si>
    <t>CCGR Calculation</t>
  </si>
  <si>
    <t>Vlookup(Relationship:Impact)</t>
  </si>
  <si>
    <t>Section</t>
  </si>
  <si>
    <t>Calculation</t>
  </si>
  <si>
    <t>Start</t>
  </si>
  <si>
    <t>End Scene 1</t>
  </si>
  <si>
    <t>End Scene 2</t>
  </si>
  <si>
    <t>End Scene 3</t>
  </si>
  <si>
    <t>End Scene 4</t>
  </si>
  <si>
    <t>End Scene 5</t>
  </si>
  <si>
    <t>End Scene 6</t>
  </si>
  <si>
    <t>End Scene 7</t>
  </si>
  <si>
    <t>Invest/JV/Info CCGR Impact</t>
  </si>
  <si>
    <t>Good</t>
  </si>
  <si>
    <t>Normal</t>
  </si>
  <si>
    <t>Weak</t>
  </si>
  <si>
    <t>% Impact on Investment Calc</t>
  </si>
  <si>
    <t>China R&amp;D Multiplier Improvement:</t>
  </si>
  <si>
    <t>Consultant</t>
  </si>
  <si>
    <t>Standard All Firms</t>
  </si>
  <si>
    <t xml:space="preserve">SH V Mayor </t>
  </si>
  <si>
    <t>CD V Mayor</t>
  </si>
  <si>
    <t>Firms give any Information to Chinese Governments: +1</t>
  </si>
  <si>
    <t>China Return</t>
  </si>
  <si>
    <t>China EV Multiplier</t>
  </si>
  <si>
    <t>0 Presence</t>
  </si>
  <si>
    <t>Given Assumption</t>
  </si>
  <si>
    <t>Global CAPEX impact * 16% mkt Share</t>
  </si>
  <si>
    <t>Global CAPEX impact * 4% mkt Share</t>
  </si>
  <si>
    <t>EU Mkt Share</t>
  </si>
  <si>
    <t>EU Mkt Added CAPEX</t>
  </si>
  <si>
    <t>USA Mkt Added CAPEX</t>
  </si>
  <si>
    <t>Total EU Mkt</t>
  </si>
  <si>
    <t>Total USA Mkt</t>
  </si>
  <si>
    <t>US General</t>
  </si>
  <si>
    <t>AB</t>
  </si>
  <si>
    <t>SCC</t>
  </si>
  <si>
    <t>USA Mkt Share</t>
  </si>
  <si>
    <t>Starting Market Share + Global CAPEX/ Total EU MKT growth &amp; SCC CAPEX</t>
  </si>
  <si>
    <t>AB Global CAPEX/2</t>
  </si>
  <si>
    <t>AB Global CAPEX Impact</t>
  </si>
  <si>
    <t>USG Global CAPEX Impact</t>
  </si>
  <si>
    <t>USG Global CAPEX/2</t>
  </si>
  <si>
    <t xml:space="preserve">Revenues +10% each </t>
  </si>
  <si>
    <t>Revenues +10% each</t>
  </si>
  <si>
    <t>IF Information = 0, .3 or SQRT((Information)/4)</t>
  </si>
  <si>
    <t>If SH/CD EV or ICE multipler * CAPEX</t>
  </si>
  <si>
    <t>China ICE Multipllier</t>
  </si>
  <si>
    <t>Actual Return</t>
  </si>
  <si>
    <t>China Market Base Return</t>
  </si>
  <si>
    <t>* Info, R&amp;D, R&amp;D type, CCGR</t>
  </si>
  <si>
    <t>SCC Total Global CAPEX</t>
  </si>
  <si>
    <t>Firms Invest in China: +1</t>
  </si>
  <si>
    <t>AVG multiplier increases by 10%</t>
  </si>
  <si>
    <t>China R&amp;D Multiplier</t>
  </si>
  <si>
    <t>Lose 5% on ICE till 2 held</t>
  </si>
  <si>
    <t>Autobauer</t>
  </si>
  <si>
    <t>Shanghai Car Company</t>
  </si>
  <si>
    <t>Shanghai V Mayor</t>
  </si>
  <si>
    <t>Chengdu V Mayor</t>
  </si>
  <si>
    <t>Public Comms</t>
  </si>
  <si>
    <t>Joint Venture Bonus</t>
  </si>
  <si>
    <t>11% Bonus on investments</t>
  </si>
  <si>
    <t>USG</t>
  </si>
  <si>
    <t>Scene 1 Time- 12:00</t>
  </si>
  <si>
    <t>Scene 2 Time- 10:00</t>
  </si>
  <si>
    <t>Scene 3 Time- 9:00</t>
  </si>
  <si>
    <t>Scene 4 Time- 7:00</t>
  </si>
  <si>
    <t>Scene 5 Time- 6:00</t>
  </si>
  <si>
    <t>Scene 6 Time- 5:00</t>
  </si>
  <si>
    <t>Scene 7 Time- 4:00</t>
  </si>
  <si>
    <t>No Scene Setting</t>
  </si>
  <si>
    <t>1 Scene Setting</t>
  </si>
  <si>
    <t>No Injection</t>
  </si>
  <si>
    <t>2 Scene Settings</t>
  </si>
  <si>
    <t>4:30 Minutes
1 Injection</t>
  </si>
  <si>
    <t>3:00 Minutes
1 Injection</t>
  </si>
  <si>
    <t>2:30 Minutes
1 Injection</t>
  </si>
  <si>
    <t>2:00 Minutes
1 Injection</t>
  </si>
  <si>
    <t>China Info in R&amp;D for EV</t>
  </si>
  <si>
    <t xml:space="preserve">AB Global CAPEX </t>
  </si>
  <si>
    <t xml:space="preserve">USG Global CAPEX </t>
  </si>
  <si>
    <t>USG Global CAPEX + CH Info R&amp;D</t>
  </si>
  <si>
    <t>AB Global CAPEX + CH Info R&amp;D</t>
  </si>
  <si>
    <t>Total CAPEX +7, then 3.5/Scene</t>
  </si>
  <si>
    <t>Total CAPEX +4, then 1.5/Scene</t>
  </si>
  <si>
    <t>100 + Mkt Added CAPEX + SCC</t>
  </si>
  <si>
    <t>EU Tariffs Enacted</t>
  </si>
  <si>
    <t>USA Tariffs Enacted</t>
  </si>
  <si>
    <t>Tariffs Global Event</t>
  </si>
  <si>
    <t>CCG Info Reqs Met (1/0)</t>
  </si>
  <si>
    <t>Scene China ROI Notes</t>
  </si>
  <si>
    <t>Inject China ROI Notes</t>
  </si>
  <si>
    <t>6:00 Minutes
1 Injection</t>
  </si>
  <si>
    <t>Vice Mayors Fail to Meet Info Quota: -1</t>
  </si>
  <si>
    <t>Vice Mayors Fail to Attract Investment: -1</t>
  </si>
  <si>
    <t>Location: (SH, CD, Global)</t>
  </si>
  <si>
    <t>SH or CD Type: (EV/ICE)</t>
  </si>
  <si>
    <t>US Tariffs Enacted? (1/-)</t>
  </si>
  <si>
    <t>EU Tariffs Enacted? (1/-)</t>
  </si>
  <si>
    <t>JV Achieved this Round? (1/-)</t>
  </si>
  <si>
    <t>Any Info Given to CG? (1/-)</t>
  </si>
  <si>
    <t>Inject/Scene CCGR Impact (#)</t>
  </si>
  <si>
    <t>*Info*R&amp;D*R&amp;D type*CCGR*EV/ICE*JV</t>
  </si>
  <si>
    <t>Information Held Multiplier</t>
  </si>
  <si>
    <t>√(# Info held in hand/4)</t>
  </si>
  <si>
    <t>Global Market Share Calculation:</t>
  </si>
  <si>
    <t>China R&amp;D? (#/-)</t>
  </si>
  <si>
    <t xml:space="preserve"> - China Info for R&amp;D? (#/-)</t>
  </si>
  <si>
    <t>Inject/Scene CCGR Impact (#/-)</t>
  </si>
  <si>
    <t>Own Info In-hand (#/-)</t>
  </si>
  <si>
    <t xml:space="preserve"> - Foreign Info for R&amp;D? (#/-)</t>
  </si>
  <si>
    <t>CAPEX Spent (#/-)</t>
  </si>
  <si>
    <t>Consultant Fails to Get Foreign Investment into China: -1</t>
  </si>
  <si>
    <t>Total Successful Investment</t>
  </si>
  <si>
    <t>Lose 5% per till 2 used</t>
  </si>
  <si>
    <t>SCC Global CAPEX + Foreign Info R&amp;D</t>
  </si>
  <si>
    <t>Global CAPEX/Total EU Mkt</t>
  </si>
  <si>
    <t>Global CAPEX/Total US Mkt</t>
  </si>
  <si>
    <t>Role</t>
  </si>
  <si>
    <t xml:space="preserve">Locked In China Return </t>
  </si>
  <si>
    <t>Locked In China Return</t>
  </si>
  <si>
    <t>End of Scene 6</t>
  </si>
  <si>
    <t>End of Scene 7</t>
  </si>
  <si>
    <t>Final Score</t>
  </si>
  <si>
    <t>Investment Benefits</t>
  </si>
  <si>
    <t>SH Total Investment</t>
  </si>
  <si>
    <t>CD Total Investment</t>
  </si>
  <si>
    <t>Tax Break ( 0 - 1)</t>
  </si>
  <si>
    <t>Int'l Investments</t>
  </si>
  <si>
    <t>Revenue Earned</t>
  </si>
  <si>
    <t>Investment Received</t>
  </si>
  <si>
    <t>1) Players Collect Automatic Currencies
2) You Announce Gov. Info Quota
3) You Reveal Scene Card &amp; Answer Questions
4) You Set Timer &amp; Begin Negotiations
5) You Announce Injection at ½ Time
6) You End Time
7) Players Announce Transactions: 
       - You Record Firm Investment Details, Information Giving, Info Held
       - You Collect &amp; Record Vice Mayor Information Quotas
       - You Give CCGR rewards for Investments, then Quotas
8) You Announce US/EU Mkt Share &amp; Update Public CCGR</t>
  </si>
  <si>
    <t>1) Players Collect Bonus &amp; Automatic Currencies
2) You Announce Gov. Info Quota
3) You Reveal Scene Card &amp; Answer Questions
4) You Set Timer &amp; Begin Negotiations
5) You Announce Injection at ½ Time
6) You End Time
7) Players Announce Transactions: 
       - You Record Firm Investment Details, Information Giving, Info Held
       - You Record China R&amp;D Transaction Details
       - You Collect &amp; Record Vice Mayor Information Quotas
       - You Give CCGR rewards for Investments, then Quotas
8) You Announce Returns, US/EU Mkt Share &amp; Update Public CCGR</t>
  </si>
  <si>
    <t>1) Players Collect Automatic Currencies
2) You Announce Gov. Info Quota
3) You Reveal Scene Card &amp; Answer Questions
4) You Set Timer &amp; Begin Negotiations
5) You Announce Injection at ½ Time
6) You End Time
7) Players Announce Transactions: 
       - You Record Firm Investment Details, Information Giving, Info Held
       - You Record China R&amp;D Transaction Details
       - You Collect &amp; Record Vice Mayor Information Quotas
       - You Give CCGR rewards for Investments, then Quotas
8) You Announce Returns, US/EU Mkt Share &amp; Update Public CCGR</t>
  </si>
  <si>
    <t>Gov. Info Quota:</t>
  </si>
  <si>
    <t>Inject/Scene Return Impact (#/-)</t>
  </si>
  <si>
    <t>Locked In China Return (#)</t>
  </si>
  <si>
    <t xml:space="preserve">Foreign Info in R&amp;D for ICE </t>
  </si>
  <si>
    <t xml:space="preserve">Others' Social Capital </t>
  </si>
  <si>
    <t>Scene End CCGR</t>
  </si>
  <si>
    <t>Start CCGR - Invest/JV/Info CCGR/Scene/Inject Impact</t>
  </si>
  <si>
    <t>(Previous Market Share) + (CAPEX) - (Total Market EV Capacity Growth) + (# China/Foreign Info for R&amp;D)</t>
  </si>
  <si>
    <t>(Capital)  x (Mkt Multiplier) x (# of R&amp;D) x (Info Held in Hand) x (Other Info for R&amp;D) x (Chinese Central Government Relationship) x (JV Bonus)</t>
  </si>
  <si>
    <t>Global Market Share</t>
  </si>
  <si>
    <t>Firms Form a JV: +4</t>
  </si>
  <si>
    <t>Current Rating</t>
  </si>
  <si>
    <t>Rating Influenced By:</t>
  </si>
  <si>
    <t>Rating</t>
  </si>
  <si>
    <t>VM Shanghai</t>
  </si>
  <si>
    <t>VM Chengdu</t>
  </si>
  <si>
    <t xml:space="preserve">Foreign Firm gives no Information to Chinese Governments: 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</si>
</sst>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%"/>
    <numFmt numFmtId="166" formatCode="0.0"/>
    <numFmt numFmtId="167" formatCode="0.000000"/>
    <numFmt numFmtId="168" formatCode="0.00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7D8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double">
        <color rgb="FF3F3F3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/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3" fillId="3" borderId="1" xfId="2"/>
    <xf numFmtId="0" fontId="5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2" fontId="0" fillId="0" borderId="0" xfId="0" applyNumberFormat="1"/>
    <xf numFmtId="0" fontId="9" fillId="3" borderId="6" xfId="2" applyFont="1" applyBorder="1"/>
    <xf numFmtId="0" fontId="3" fillId="3" borderId="6" xfId="2" applyBorder="1"/>
    <xf numFmtId="0" fontId="8" fillId="3" borderId="9" xfId="2" applyFont="1" applyBorder="1"/>
    <xf numFmtId="0" fontId="8" fillId="3" borderId="6" xfId="2" applyFont="1" applyBorder="1"/>
    <xf numFmtId="2" fontId="8" fillId="9" borderId="1" xfId="2" applyNumberFormat="1" applyFont="1" applyFill="1"/>
    <xf numFmtId="2" fontId="11" fillId="10" borderId="1" xfId="2" applyNumberFormat="1" applyFont="1" applyFill="1"/>
    <xf numFmtId="0" fontId="0" fillId="8" borderId="0" xfId="0" applyFill="1"/>
    <xf numFmtId="0" fontId="13" fillId="8" borderId="13" xfId="0" applyFont="1" applyFill="1" applyBorder="1" applyAlignment="1">
      <alignment horizontal="center"/>
    </xf>
    <xf numFmtId="0" fontId="15" fillId="3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3" borderId="1" xfId="2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11" borderId="3" xfId="3" applyFont="1" applyFill="1" applyBorder="1" applyAlignment="1">
      <alignment horizontal="center"/>
    </xf>
    <xf numFmtId="0" fontId="4" fillId="11" borderId="4" xfId="3" applyFont="1" applyFill="1" applyBorder="1" applyAlignment="1">
      <alignment horizontal="center"/>
    </xf>
    <xf numFmtId="0" fontId="4" fillId="11" borderId="3" xfId="3" applyFont="1" applyFill="1" applyBorder="1" applyAlignment="1">
      <alignment horizontal="center"/>
    </xf>
    <xf numFmtId="0" fontId="17" fillId="11" borderId="3" xfId="4" applyFont="1" applyFill="1" applyBorder="1" applyAlignment="1">
      <alignment horizontal="center"/>
    </xf>
    <xf numFmtId="0" fontId="18" fillId="11" borderId="3" xfId="4" applyFont="1" applyFill="1" applyBorder="1" applyAlignment="1">
      <alignment horizontal="center"/>
    </xf>
    <xf numFmtId="0" fontId="18" fillId="12" borderId="3" xfId="1" applyFont="1" applyFill="1" applyBorder="1" applyAlignment="1">
      <alignment horizontal="center"/>
    </xf>
    <xf numFmtId="0" fontId="18" fillId="12" borderId="11" xfId="1" applyFont="1" applyFill="1" applyBorder="1" applyAlignment="1">
      <alignment horizontal="center"/>
    </xf>
    <xf numFmtId="0" fontId="18" fillId="12" borderId="12" xfId="1" applyFont="1" applyFill="1" applyBorder="1" applyAlignment="1">
      <alignment horizontal="center"/>
    </xf>
    <xf numFmtId="0" fontId="17" fillId="12" borderId="11" xfId="1" applyFont="1" applyFill="1" applyBorder="1" applyAlignment="1">
      <alignment horizontal="center"/>
    </xf>
    <xf numFmtId="9" fontId="0" fillId="0" borderId="0" xfId="6" applyFont="1"/>
    <xf numFmtId="0" fontId="18" fillId="12" borderId="14" xfId="1" applyFont="1" applyFill="1" applyBorder="1" applyAlignment="1">
      <alignment horizontal="center"/>
    </xf>
    <xf numFmtId="165" fontId="0" fillId="0" borderId="0" xfId="6" applyNumberFormat="1" applyFont="1"/>
    <xf numFmtId="0" fontId="16" fillId="0" borderId="0" xfId="0" applyFont="1" applyAlignment="1">
      <alignment vertical="center"/>
    </xf>
    <xf numFmtId="0" fontId="15" fillId="3" borderId="2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3" borderId="8" xfId="2" applyFont="1" applyBorder="1" applyAlignment="1">
      <alignment horizontal="center" vertical="center"/>
    </xf>
    <xf numFmtId="0" fontId="15" fillId="3" borderId="1" xfId="2" applyFont="1" applyAlignment="1">
      <alignment horizontal="center" vertical="center"/>
    </xf>
    <xf numFmtId="2" fontId="0" fillId="0" borderId="0" xfId="0" applyNumberFormat="1" applyAlignment="1">
      <alignment vertical="center" wrapText="1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2" fontId="7" fillId="0" borderId="0" xfId="0" applyNumberFormat="1" applyFont="1" applyAlignment="1">
      <alignment horizontal="left" vertical="center" readingOrder="1"/>
    </xf>
    <xf numFmtId="0" fontId="3" fillId="3" borderId="1" xfId="2" applyAlignment="1">
      <alignment horizontal="center" vertical="center" wrapText="1"/>
    </xf>
    <xf numFmtId="0" fontId="0" fillId="13" borderId="0" xfId="0" applyFill="1"/>
    <xf numFmtId="0" fontId="20" fillId="7" borderId="3" xfId="1" applyFont="1" applyFill="1" applyBorder="1" applyAlignment="1">
      <alignment horizontal="center"/>
    </xf>
    <xf numFmtId="0" fontId="2" fillId="7" borderId="3" xfId="1" applyFill="1" applyBorder="1" applyAlignment="1">
      <alignment horizontal="center"/>
    </xf>
    <xf numFmtId="165" fontId="18" fillId="11" borderId="3" xfId="6" applyNumberFormat="1" applyFont="1" applyFill="1" applyBorder="1" applyAlignment="1">
      <alignment horizontal="center"/>
    </xf>
    <xf numFmtId="165" fontId="4" fillId="11" borderId="3" xfId="6" applyNumberFormat="1" applyFont="1" applyFill="1" applyBorder="1" applyAlignment="1">
      <alignment horizontal="center"/>
    </xf>
    <xf numFmtId="0" fontId="19" fillId="0" borderId="0" xfId="0" applyFont="1"/>
    <xf numFmtId="0" fontId="1" fillId="6" borderId="3" xfId="5" applyBorder="1" applyAlignment="1">
      <alignment horizontal="center"/>
    </xf>
    <xf numFmtId="0" fontId="19" fillId="6" borderId="3" xfId="5" applyFont="1" applyBorder="1" applyAlignment="1">
      <alignment horizontal="center"/>
    </xf>
    <xf numFmtId="0" fontId="15" fillId="3" borderId="0" xfId="2" applyFont="1" applyBorder="1" applyAlignment="1">
      <alignment horizontal="center" vertical="center"/>
    </xf>
    <xf numFmtId="0" fontId="4" fillId="11" borderId="4" xfId="3" quotePrefix="1" applyFont="1" applyFill="1" applyBorder="1" applyAlignment="1">
      <alignment horizontal="center"/>
    </xf>
    <xf numFmtId="166" fontId="18" fillId="11" borderId="3" xfId="4" applyNumberFormat="1" applyFont="1" applyFill="1" applyBorder="1" applyAlignment="1">
      <alignment horizontal="center"/>
    </xf>
    <xf numFmtId="0" fontId="16" fillId="13" borderId="0" xfId="0" applyFont="1" applyFill="1" applyAlignment="1">
      <alignment vertical="center"/>
    </xf>
    <xf numFmtId="0" fontId="15" fillId="3" borderId="23" xfId="2" applyFont="1" applyBorder="1" applyAlignment="1">
      <alignment horizontal="center" vertical="center"/>
    </xf>
    <xf numFmtId="0" fontId="15" fillId="8" borderId="24" xfId="0" applyFont="1" applyFill="1" applyBorder="1" applyAlignment="1">
      <alignment vertical="center"/>
    </xf>
    <xf numFmtId="0" fontId="15" fillId="8" borderId="25" xfId="0" applyFont="1" applyFill="1" applyBorder="1" applyAlignment="1">
      <alignment vertical="center"/>
    </xf>
    <xf numFmtId="0" fontId="15" fillId="3" borderId="26" xfId="2" applyFont="1" applyBorder="1" applyAlignment="1">
      <alignment horizontal="center" vertical="center"/>
    </xf>
    <xf numFmtId="0" fontId="15" fillId="3" borderId="27" xfId="2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18" fillId="12" borderId="28" xfId="1" applyFont="1" applyFill="1" applyBorder="1" applyAlignment="1">
      <alignment horizontal="center"/>
    </xf>
    <xf numFmtId="165" fontId="18" fillId="12" borderId="11" xfId="6" applyNumberFormat="1" applyFont="1" applyFill="1" applyBorder="1" applyAlignment="1">
      <alignment horizontal="center"/>
    </xf>
    <xf numFmtId="165" fontId="18" fillId="12" borderId="1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3" xfId="0" applyBorder="1"/>
    <xf numFmtId="0" fontId="15" fillId="3" borderId="29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6" fontId="4" fillId="11" borderId="3" xfId="3" applyNumberFormat="1" applyFont="1" applyFill="1" applyBorder="1" applyAlignment="1">
      <alignment horizontal="center"/>
    </xf>
    <xf numFmtId="0" fontId="3" fillId="3" borderId="1" xfId="2" applyAlignment="1">
      <alignment horizontal="center" vertical="center"/>
    </xf>
    <xf numFmtId="0" fontId="3" fillId="3" borderId="6" xfId="2" quotePrefix="1" applyBorder="1"/>
    <xf numFmtId="0" fontId="0" fillId="14" borderId="0" xfId="0" applyFill="1"/>
    <xf numFmtId="165" fontId="18" fillId="12" borderId="3" xfId="6" applyNumberFormat="1" applyFont="1" applyFill="1" applyBorder="1" applyAlignment="1">
      <alignment horizontal="center"/>
    </xf>
    <xf numFmtId="165" fontId="18" fillId="12" borderId="3" xfId="1" applyNumberFormat="1" applyFont="1" applyFill="1" applyBorder="1" applyAlignment="1">
      <alignment horizontal="center"/>
    </xf>
    <xf numFmtId="0" fontId="3" fillId="11" borderId="3" xfId="4" applyFont="1" applyFill="1" applyBorder="1" applyAlignment="1">
      <alignment horizontal="center"/>
    </xf>
    <xf numFmtId="0" fontId="0" fillId="0" borderId="0" xfId="6" applyNumberFormat="1" applyFont="1"/>
    <xf numFmtId="166" fontId="18" fillId="12" borderId="11" xfId="1" applyNumberFormat="1" applyFont="1" applyFill="1" applyBorder="1" applyAlignment="1">
      <alignment horizontal="center"/>
    </xf>
    <xf numFmtId="0" fontId="4" fillId="11" borderId="3" xfId="3" applyNumberFormat="1" applyFont="1" applyFill="1" applyBorder="1" applyAlignment="1">
      <alignment horizontal="center"/>
    </xf>
    <xf numFmtId="0" fontId="18" fillId="11" borderId="3" xfId="4" applyNumberFormat="1" applyFont="1" applyFill="1" applyBorder="1" applyAlignment="1">
      <alignment horizontal="center"/>
    </xf>
    <xf numFmtId="0" fontId="3" fillId="3" borderId="6" xfId="2" quotePrefix="1" applyNumberFormat="1" applyBorder="1"/>
    <xf numFmtId="0" fontId="18" fillId="12" borderId="11" xfId="6" applyNumberFormat="1" applyFont="1" applyFill="1" applyBorder="1" applyAlignment="1">
      <alignment horizontal="center"/>
    </xf>
    <xf numFmtId="0" fontId="18" fillId="12" borderId="3" xfId="6" applyNumberFormat="1" applyFont="1" applyFill="1" applyBorder="1" applyAlignment="1">
      <alignment horizontal="center"/>
    </xf>
    <xf numFmtId="0" fontId="3" fillId="3" borderId="42" xfId="2" applyBorder="1"/>
    <xf numFmtId="166" fontId="0" fillId="14" borderId="0" xfId="0" applyNumberFormat="1" applyFill="1"/>
    <xf numFmtId="2" fontId="3" fillId="3" borderId="1" xfId="2" applyNumberFormat="1"/>
    <xf numFmtId="166" fontId="3" fillId="3" borderId="1" xfId="2" applyNumberFormat="1"/>
    <xf numFmtId="0" fontId="0" fillId="13" borderId="0" xfId="0" quotePrefix="1" applyFill="1"/>
    <xf numFmtId="0" fontId="3" fillId="8" borderId="0" xfId="0" applyFont="1" applyFill="1"/>
    <xf numFmtId="164" fontId="14" fillId="8" borderId="13" xfId="0" applyNumberFormat="1" applyFont="1" applyFill="1" applyBorder="1" applyAlignment="1">
      <alignment horizontal="center" vertical="center" textRotation="90"/>
    </xf>
    <xf numFmtId="0" fontId="15" fillId="3" borderId="6" xfId="2" applyFont="1" applyBorder="1" applyAlignment="1">
      <alignment horizontal="center" vertical="center"/>
    </xf>
    <xf numFmtId="0" fontId="15" fillId="3" borderId="7" xfId="2" applyFont="1" applyBorder="1" applyAlignment="1">
      <alignment horizontal="center" vertical="center"/>
    </xf>
    <xf numFmtId="0" fontId="15" fillId="3" borderId="5" xfId="2" applyFont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 readingOrder="1"/>
    </xf>
    <xf numFmtId="0" fontId="15" fillId="8" borderId="30" xfId="0" applyFont="1" applyFill="1" applyBorder="1" applyAlignment="1">
      <alignment horizontal="center" vertical="center" readingOrder="1"/>
    </xf>
    <xf numFmtId="0" fontId="15" fillId="8" borderId="32" xfId="0" applyFont="1" applyFill="1" applyBorder="1" applyAlignment="1">
      <alignment horizontal="center" vertical="center" readingOrder="1"/>
    </xf>
    <xf numFmtId="0" fontId="15" fillId="8" borderId="33" xfId="0" applyFont="1" applyFill="1" applyBorder="1" applyAlignment="1">
      <alignment horizontal="center" vertical="center" readingOrder="1"/>
    </xf>
    <xf numFmtId="0" fontId="15" fillId="8" borderId="34" xfId="0" applyFont="1" applyFill="1" applyBorder="1" applyAlignment="1">
      <alignment horizontal="center" vertical="center" readingOrder="1"/>
    </xf>
    <xf numFmtId="0" fontId="15" fillId="8" borderId="35" xfId="0" applyFont="1" applyFill="1" applyBorder="1" applyAlignment="1">
      <alignment horizontal="center" vertical="center" readingOrder="1"/>
    </xf>
    <xf numFmtId="0" fontId="15" fillId="8" borderId="38" xfId="0" applyFont="1" applyFill="1" applyBorder="1" applyAlignment="1">
      <alignment horizontal="center" vertical="center" readingOrder="1"/>
    </xf>
    <xf numFmtId="0" fontId="15" fillId="8" borderId="39" xfId="0" applyFont="1" applyFill="1" applyBorder="1" applyAlignment="1">
      <alignment horizontal="center" vertical="center" readingOrder="1"/>
    </xf>
    <xf numFmtId="0" fontId="15" fillId="8" borderId="40" xfId="0" applyFont="1" applyFill="1" applyBorder="1" applyAlignment="1">
      <alignment horizontal="center" vertical="center" readingOrder="1"/>
    </xf>
    <xf numFmtId="0" fontId="15" fillId="3" borderId="10" xfId="2" applyFont="1" applyBorder="1" applyAlignment="1">
      <alignment horizontal="center" vertical="center"/>
    </xf>
    <xf numFmtId="0" fontId="15" fillId="3" borderId="0" xfId="2" applyFont="1" applyBorder="1" applyAlignment="1">
      <alignment horizontal="center" vertical="center"/>
    </xf>
    <xf numFmtId="0" fontId="15" fillId="8" borderId="36" xfId="0" applyFont="1" applyFill="1" applyBorder="1" applyAlignment="1">
      <alignment horizontal="center" vertical="center" readingOrder="1"/>
    </xf>
    <xf numFmtId="0" fontId="15" fillId="8" borderId="0" xfId="0" applyFont="1" applyFill="1" applyAlignment="1">
      <alignment horizontal="center" vertical="center" readingOrder="1"/>
    </xf>
    <xf numFmtId="0" fontId="15" fillId="8" borderId="37" xfId="0" applyFont="1" applyFill="1" applyBorder="1" applyAlignment="1">
      <alignment horizontal="center" vertical="center" readingOrder="1"/>
    </xf>
    <xf numFmtId="0" fontId="0" fillId="0" borderId="0" xfId="0"/>
    <xf numFmtId="0" fontId="23" fillId="13" borderId="15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18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19" xfId="0" applyFont="1" applyFill="1" applyBorder="1" applyAlignment="1">
      <alignment horizontal="center" vertical="center"/>
    </xf>
    <xf numFmtId="0" fontId="23" fillId="13" borderId="20" xfId="0" applyFont="1" applyFill="1" applyBorder="1" applyAlignment="1">
      <alignment horizontal="center" vertical="center"/>
    </xf>
    <xf numFmtId="0" fontId="23" fillId="13" borderId="21" xfId="0" applyFont="1" applyFill="1" applyBorder="1" applyAlignment="1">
      <alignment horizontal="center" vertical="center"/>
    </xf>
    <xf numFmtId="0" fontId="23" fillId="13" borderId="22" xfId="0" applyFont="1" applyFill="1" applyBorder="1" applyAlignment="1">
      <alignment horizontal="center" vertical="center"/>
    </xf>
    <xf numFmtId="0" fontId="22" fillId="13" borderId="15" xfId="0" applyFont="1" applyFill="1" applyBorder="1" applyAlignment="1">
      <alignment horizontal="center" vertical="center" wrapText="1"/>
    </xf>
    <xf numFmtId="0" fontId="16" fillId="13" borderId="16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0" fontId="16" fillId="13" borderId="18" xfId="0" applyFont="1" applyFill="1" applyBorder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6" fillId="13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center" vertical="center"/>
    </xf>
    <xf numFmtId="0" fontId="16" fillId="13" borderId="22" xfId="0" applyFont="1" applyFill="1" applyBorder="1" applyAlignment="1">
      <alignment horizontal="center" vertical="center"/>
    </xf>
    <xf numFmtId="0" fontId="24" fillId="13" borderId="15" xfId="0" applyFont="1" applyFill="1" applyBorder="1" applyAlignment="1">
      <alignment horizontal="center" vertical="top"/>
    </xf>
    <xf numFmtId="0" fontId="24" fillId="13" borderId="16" xfId="0" applyFont="1" applyFill="1" applyBorder="1" applyAlignment="1">
      <alignment horizontal="center" vertical="top"/>
    </xf>
    <xf numFmtId="0" fontId="24" fillId="13" borderId="17" xfId="0" applyFont="1" applyFill="1" applyBorder="1" applyAlignment="1">
      <alignment horizontal="center" vertical="top"/>
    </xf>
    <xf numFmtId="0" fontId="24" fillId="13" borderId="18" xfId="0" applyFont="1" applyFill="1" applyBorder="1" applyAlignment="1">
      <alignment horizontal="center" vertical="top"/>
    </xf>
    <xf numFmtId="0" fontId="24" fillId="13" borderId="0" xfId="0" applyFont="1" applyFill="1" applyAlignment="1">
      <alignment horizontal="center" vertical="top"/>
    </xf>
    <xf numFmtId="0" fontId="24" fillId="13" borderId="19" xfId="0" applyFont="1" applyFill="1" applyBorder="1" applyAlignment="1">
      <alignment horizontal="center" vertical="top"/>
    </xf>
    <xf numFmtId="0" fontId="24" fillId="13" borderId="20" xfId="0" applyFont="1" applyFill="1" applyBorder="1" applyAlignment="1">
      <alignment horizontal="center" vertical="top"/>
    </xf>
    <xf numFmtId="0" fontId="24" fillId="13" borderId="21" xfId="0" applyFont="1" applyFill="1" applyBorder="1" applyAlignment="1">
      <alignment horizontal="center" vertical="top"/>
    </xf>
    <xf numFmtId="0" fontId="24" fillId="13" borderId="22" xfId="0" applyFont="1" applyFill="1" applyBorder="1" applyAlignment="1">
      <alignment horizontal="center" vertical="top"/>
    </xf>
    <xf numFmtId="0" fontId="21" fillId="13" borderId="15" xfId="0" applyFont="1" applyFill="1" applyBorder="1" applyAlignment="1">
      <alignment horizontal="left" vertical="top" wrapText="1"/>
    </xf>
    <xf numFmtId="0" fontId="21" fillId="13" borderId="16" xfId="0" applyFont="1" applyFill="1" applyBorder="1" applyAlignment="1">
      <alignment horizontal="left" vertical="top" wrapText="1"/>
    </xf>
    <xf numFmtId="0" fontId="21" fillId="13" borderId="17" xfId="0" applyFont="1" applyFill="1" applyBorder="1" applyAlignment="1">
      <alignment horizontal="left" vertical="top" wrapText="1"/>
    </xf>
    <xf numFmtId="0" fontId="21" fillId="13" borderId="18" xfId="0" applyFont="1" applyFill="1" applyBorder="1" applyAlignment="1">
      <alignment horizontal="left" vertical="top" wrapText="1"/>
    </xf>
    <xf numFmtId="0" fontId="21" fillId="13" borderId="0" xfId="0" applyFont="1" applyFill="1" applyAlignment="1">
      <alignment horizontal="left" vertical="top" wrapText="1"/>
    </xf>
    <xf numFmtId="0" fontId="21" fillId="13" borderId="19" xfId="0" applyFont="1" applyFill="1" applyBorder="1" applyAlignment="1">
      <alignment horizontal="left" vertical="top" wrapText="1"/>
    </xf>
    <xf numFmtId="0" fontId="21" fillId="13" borderId="20" xfId="0" applyFont="1" applyFill="1" applyBorder="1" applyAlignment="1">
      <alignment horizontal="left" vertical="top" wrapText="1"/>
    </xf>
    <xf numFmtId="0" fontId="21" fillId="13" borderId="21" xfId="0" applyFont="1" applyFill="1" applyBorder="1" applyAlignment="1">
      <alignment horizontal="left" vertical="top" wrapText="1"/>
    </xf>
    <xf numFmtId="0" fontId="21" fillId="13" borderId="22" xfId="0" applyFont="1" applyFill="1" applyBorder="1" applyAlignment="1">
      <alignment horizontal="left" vertical="top" wrapText="1"/>
    </xf>
    <xf numFmtId="0" fontId="22" fillId="13" borderId="15" xfId="0" applyFont="1" applyFill="1" applyBorder="1" applyAlignment="1">
      <alignment horizontal="center" vertical="center"/>
    </xf>
    <xf numFmtId="0" fontId="22" fillId="13" borderId="16" xfId="0" applyFont="1" applyFill="1" applyBorder="1" applyAlignment="1">
      <alignment horizontal="center" vertical="center"/>
    </xf>
    <xf numFmtId="0" fontId="22" fillId="13" borderId="17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22" fillId="13" borderId="22" xfId="0" applyFont="1" applyFill="1" applyBorder="1" applyAlignment="1">
      <alignment horizontal="center" vertical="center"/>
    </xf>
    <xf numFmtId="0" fontId="16" fillId="13" borderId="15" xfId="0" applyFont="1" applyFill="1" applyBorder="1" applyAlignment="1">
      <alignment horizontal="center" vertical="center"/>
    </xf>
    <xf numFmtId="0" fontId="22" fillId="13" borderId="16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2" fillId="13" borderId="18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2" fillId="13" borderId="19" xfId="0" applyFont="1" applyFill="1" applyBorder="1" applyAlignment="1">
      <alignment horizontal="center" vertical="center" wrapText="1"/>
    </xf>
    <xf numFmtId="0" fontId="22" fillId="13" borderId="20" xfId="0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0" fontId="3" fillId="3" borderId="1" xfId="2" applyAlignment="1">
      <alignment horizontal="center"/>
    </xf>
    <xf numFmtId="2" fontId="3" fillId="3" borderId="6" xfId="2" applyNumberFormat="1" applyBorder="1" applyAlignment="1">
      <alignment horizontal="center"/>
    </xf>
    <xf numFmtId="2" fontId="3" fillId="3" borderId="7" xfId="2" applyNumberFormat="1" applyBorder="1" applyAlignment="1">
      <alignment horizontal="center"/>
    </xf>
    <xf numFmtId="2" fontId="3" fillId="3" borderId="5" xfId="2" applyNumberFormat="1" applyBorder="1" applyAlignment="1">
      <alignment horizontal="center"/>
    </xf>
    <xf numFmtId="0" fontId="3" fillId="3" borderId="6" xfId="2" applyBorder="1" applyAlignment="1">
      <alignment horizontal="center"/>
    </xf>
    <xf numFmtId="0" fontId="3" fillId="3" borderId="7" xfId="2" applyBorder="1" applyAlignment="1">
      <alignment horizontal="center"/>
    </xf>
    <xf numFmtId="0" fontId="3" fillId="3" borderId="5" xfId="2" applyBorder="1" applyAlignment="1">
      <alignment horizontal="center"/>
    </xf>
    <xf numFmtId="0" fontId="15" fillId="8" borderId="41" xfId="0" applyFont="1" applyFill="1" applyBorder="1" applyAlignment="1">
      <alignment horizontal="center" vertical="center" readingOrder="1"/>
    </xf>
  </cellXfs>
  <cellStyles count="7">
    <cellStyle name="20% - Accent1" xfId="3" builtinId="30"/>
    <cellStyle name="40% - Accent2" xfId="5" builtinId="35"/>
    <cellStyle name="60% - Accent1" xfId="4" builtinId="32"/>
    <cellStyle name="Bad" xfId="1" builtinId="27"/>
    <cellStyle name="Check Cell" xfId="2" builtinId="23"/>
    <cellStyle name="Normal" xfId="0" builtinId="0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10/relationships/person" Target="persons/person2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1503482</xdr:colOff>
      <xdr:row>16</xdr:row>
      <xdr:rowOff>131885</xdr:rowOff>
    </xdr:from>
    <xdr:to>
      <xdr:col>9</xdr:col>
      <xdr:colOff>1111684</xdr:colOff>
      <xdr:row>26</xdr:row>
      <xdr:rowOff>144193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F56F12-0790-427F-A725-E8FBF70F1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6360" y="3279531"/>
          <a:ext cx="1437002" cy="1920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1503486</xdr:colOff>
      <xdr:row>16</xdr:row>
      <xdr:rowOff>105507</xdr:rowOff>
    </xdr:from>
    <xdr:to>
      <xdr:col>9</xdr:col>
      <xdr:colOff>1225045</xdr:colOff>
      <xdr:row>26</xdr:row>
      <xdr:rowOff>117815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DB636D-7E15-C977-65D0-82EBF4F94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3609" y="3270738"/>
          <a:ext cx="1462436" cy="1920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1477106</xdr:colOff>
      <xdr:row>16</xdr:row>
      <xdr:rowOff>96713</xdr:rowOff>
    </xdr:from>
    <xdr:to>
      <xdr:col>9</xdr:col>
      <xdr:colOff>1185946</xdr:colOff>
      <xdr:row>26</xdr:row>
      <xdr:rowOff>65060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8815007-FE31-07B8-5232-3FB01F098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2060" y="3261944"/>
          <a:ext cx="1449717" cy="1920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1441940</xdr:colOff>
      <xdr:row>16</xdr:row>
      <xdr:rowOff>49640</xdr:rowOff>
    </xdr:from>
    <xdr:to>
      <xdr:col>9</xdr:col>
      <xdr:colOff>1138064</xdr:colOff>
      <xdr:row>26</xdr:row>
      <xdr:rowOff>61949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3A76E7-6665-2C82-7E70-DD8993261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6894" y="3188494"/>
          <a:ext cx="1437001" cy="1920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1415562</xdr:colOff>
      <xdr:row>16</xdr:row>
      <xdr:rowOff>79133</xdr:rowOff>
    </xdr:from>
    <xdr:to>
      <xdr:col>9</xdr:col>
      <xdr:colOff>1124402</xdr:colOff>
      <xdr:row>26</xdr:row>
      <xdr:rowOff>47480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93B0CB-6DE4-D19B-0677-14C1539E2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516" y="3226779"/>
          <a:ext cx="1449717" cy="1920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1389185</xdr:colOff>
      <xdr:row>16</xdr:row>
      <xdr:rowOff>35171</xdr:rowOff>
    </xdr:from>
    <xdr:to>
      <xdr:col>9</xdr:col>
      <xdr:colOff>1110742</xdr:colOff>
      <xdr:row>26</xdr:row>
      <xdr:rowOff>3520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70D37D9-5B95-5143-3DDF-8E8BF3AEA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4139" y="3165232"/>
          <a:ext cx="1462434" cy="1920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1433144</xdr:colOff>
      <xdr:row>16</xdr:row>
      <xdr:rowOff>123093</xdr:rowOff>
    </xdr:from>
    <xdr:to>
      <xdr:col>9</xdr:col>
      <xdr:colOff>1129269</xdr:colOff>
      <xdr:row>26</xdr:row>
      <xdr:rowOff>82648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1323EA-A9FD-235B-76B0-7AA8D4081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098" y="3261947"/>
          <a:ext cx="1437002" cy="19202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7539-D3C1-41A2-A309-6AB51A0076FE}">
  <dimension ref="A2:L12"/>
  <sheetViews>
    <sheetView workbookViewId="0">
      <selection activeCell="K14" sqref="K14"/>
    </sheetView>
  </sheetViews>
  <sheetFormatPr defaultRowHeight="14.4" x14ac:dyDescent="0.3"/>
  <sheetData>
    <row r="2" spans="1:12" ht="21.05" x14ac:dyDescent="0.3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1.05" x14ac:dyDescent="0.3">
      <c r="A3" s="3" t="s">
        <v>65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.05" x14ac:dyDescent="0.3">
      <c r="A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1.05" x14ac:dyDescent="0.3">
      <c r="A5" s="2" t="s">
        <v>116</v>
      </c>
    </row>
    <row r="6" spans="1:12" ht="21.05" x14ac:dyDescent="0.3">
      <c r="A6" s="39" t="s">
        <v>117</v>
      </c>
    </row>
    <row r="8" spans="1:12" ht="21.05" x14ac:dyDescent="0.3">
      <c r="A8" s="2" t="s">
        <v>8</v>
      </c>
    </row>
    <row r="9" spans="1:12" ht="21.05" x14ac:dyDescent="0.3">
      <c r="A9" s="3" t="s">
        <v>155</v>
      </c>
    </row>
    <row r="10" spans="1:12" ht="21.05" x14ac:dyDescent="0.3">
      <c r="A10" s="3"/>
    </row>
    <row r="11" spans="1:12" ht="21.05" x14ac:dyDescent="0.3">
      <c r="A11" s="2" t="s">
        <v>118</v>
      </c>
    </row>
    <row r="12" spans="1:12" ht="21.05" x14ac:dyDescent="0.3">
      <c r="A12" s="39" t="s">
        <v>154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2F9A-209F-4EAB-AD03-D4746794AFB4}">
  <dimension ref="A1:O11"/>
  <sheetViews>
    <sheetView workbookViewId="0">
      <selection activeCell="B10" sqref="B10"/>
    </sheetView>
  </sheetViews>
  <sheetFormatPr defaultRowHeight="14.4" x14ac:dyDescent="0.3"/>
  <cols>
    <col min="1" max="1" width="20.5" bestFit="1" customWidth="1"/>
    <col min="5" max="5" width="11.19921875" bestFit="1" customWidth="1"/>
    <col min="6" max="6" width="10.8984375" bestFit="1" customWidth="1"/>
    <col min="7" max="7" width="10.09765625" bestFit="1" customWidth="1"/>
    <col min="9" max="9" width="20.5" bestFit="1" customWidth="1"/>
  </cols>
  <sheetData>
    <row r="1" spans="1:15" ht="15.55" thickTop="1" thickBot="1" x14ac:dyDescent="0.35">
      <c r="A1" s="160" t="s">
        <v>134</v>
      </c>
      <c r="B1" s="160"/>
      <c r="C1" s="160"/>
      <c r="D1" s="160"/>
      <c r="E1" s="160"/>
      <c r="F1" s="160"/>
      <c r="G1" s="160"/>
      <c r="I1" s="160" t="s">
        <v>135</v>
      </c>
      <c r="J1" s="160"/>
      <c r="K1" s="160"/>
      <c r="L1" s="160"/>
      <c r="M1" s="160"/>
      <c r="N1" s="160"/>
      <c r="O1" s="160"/>
    </row>
    <row r="2" spans="1:15" ht="15.55" thickTop="1" thickBot="1" x14ac:dyDescent="0.35">
      <c r="A2" s="1" t="s">
        <v>131</v>
      </c>
      <c r="B2" s="1" t="s">
        <v>75</v>
      </c>
      <c r="C2" s="1" t="s">
        <v>47</v>
      </c>
      <c r="D2" s="1" t="s">
        <v>48</v>
      </c>
      <c r="E2" s="1" t="s">
        <v>32</v>
      </c>
      <c r="F2" s="1" t="s">
        <v>33</v>
      </c>
      <c r="G2" s="1" t="s">
        <v>30</v>
      </c>
      <c r="I2" s="1" t="s">
        <v>131</v>
      </c>
      <c r="J2" s="1" t="s">
        <v>75</v>
      </c>
      <c r="K2" s="1" t="s">
        <v>47</v>
      </c>
      <c r="L2" s="1" t="s">
        <v>48</v>
      </c>
      <c r="M2" s="1" t="s">
        <v>32</v>
      </c>
      <c r="N2" s="1" t="s">
        <v>33</v>
      </c>
      <c r="O2" s="1" t="s">
        <v>30</v>
      </c>
    </row>
    <row r="3" spans="1:15" ht="15.55" thickTop="1" thickBot="1" x14ac:dyDescent="0.35">
      <c r="A3" s="1" t="s">
        <v>151</v>
      </c>
      <c r="B3" s="11"/>
      <c r="C3" s="11"/>
      <c r="D3" s="70"/>
      <c r="E3" s="70"/>
      <c r="F3" s="70"/>
      <c r="G3" s="70"/>
      <c r="I3" s="1" t="s">
        <v>151</v>
      </c>
      <c r="J3" s="11"/>
      <c r="K3" s="11"/>
      <c r="L3" s="70"/>
      <c r="M3" s="70"/>
      <c r="N3" s="70"/>
      <c r="O3" s="70"/>
    </row>
    <row r="4" spans="1:15" ht="15.55" thickTop="1" thickBot="1" x14ac:dyDescent="0.35">
      <c r="A4" s="1" t="s">
        <v>137</v>
      </c>
      <c r="B4" s="70">
        <f>'Scene 1'!$B$28+'Scene 2'!$B$28+'Scene 3'!$B$28+'Scene 4'!$B$28+'Scene 5'!$B$28+'Scene 6'!$B$28</f>
        <v>0</v>
      </c>
      <c r="C4" s="70">
        <f>'Scene 1'!$D$28+'Scene 2'!$D$28+'Scene 3'!$D$28+'Scene 4'!$D$28+'Scene 5'!$D$28+'Scene 6'!$D$28</f>
        <v>0</v>
      </c>
      <c r="D4" s="70">
        <f>'Scene 1'!$G$28+'Scene 2'!$G$28+'Scene 3'!$G$28+'Scene 4'!$G$28+'Scene 5'!$G$28+'Scene 6'!$G$28</f>
        <v>0</v>
      </c>
      <c r="E4" s="70">
        <f>'Scene 1'!$J$7+'Scene 2'!$J$7+'Scene 3'!$J$7+'Scene 4'!$J$7+'Scene 5'!$J$7+'Scene 6'!$J$7+IF(B8&gt;B9,3,0)</f>
        <v>0</v>
      </c>
      <c r="F4" s="70">
        <f>'Scene 1'!$K$7+'Scene 2'!$K$7+'Scene 3'!$K$7+'Scene 4'!$K$7+'Scene 5'!$K$7+'Scene 6'!$K$7+IF(B9&gt;B8,5,0)</f>
        <v>0</v>
      </c>
      <c r="G4" s="70">
        <f>B10/4</f>
        <v>0</v>
      </c>
      <c r="I4" s="1" t="s">
        <v>137</v>
      </c>
      <c r="J4" s="70">
        <f>'Scene 1'!$B$28+'Scene 2'!$B$28+'Scene 3'!$B$28+'Scene 4'!$B$28+'Scene 5'!$B$28+'Scene 6'!$B$28+'Scene 7'!$B$28</f>
        <v>0</v>
      </c>
      <c r="K4" s="70">
        <f>'Scene 1'!$D$28+'Scene 2'!$D$28+'Scene 3'!$D$28+'Scene 4'!$D$28+'Scene 5'!$D$28+'Scene 6'!$D$28+'Scene 7'!$D$28</f>
        <v>0</v>
      </c>
      <c r="L4" s="70">
        <f>'Scene 1'!$G$28+'Scene 2'!$G$28+'Scene 3'!$G$28+'Scene 4'!$G$28+'Scene 5'!$G$28+'Scene 6'!$G$28+'Scene 7'!$G$28</f>
        <v>0</v>
      </c>
      <c r="M4" s="70">
        <f>'Scene 1'!$J$7+'Scene 2'!$J$7+'Scene 3'!$J$7+'Scene 4'!$J$7+'Scene 5'!$J$7+'Scene 6'!$J$7+'Scene 7'!$J$7+IF(J8&gt;J9,3,0)</f>
        <v>0</v>
      </c>
      <c r="N4" s="70">
        <f>'Scene 1'!$K$7+'Scene 2'!$K$7+'Scene 3'!$K$7+'Scene 4'!$K$7+'Scene 5'!$K$7+'Scene 6'!$K$7+'Scene 7'!$K$7+IF(J9&gt;J8,5,0)</f>
        <v>0</v>
      </c>
      <c r="O4" s="70">
        <f>J10/4</f>
        <v>0</v>
      </c>
    </row>
    <row r="5" spans="1:15" ht="15.55" thickTop="1" thickBot="1" x14ac:dyDescent="0.35">
      <c r="A5" s="81" t="s">
        <v>156</v>
      </c>
      <c r="B5" s="82">
        <f>('Scene 6'!$B$26+'Scene 6'!$B$27)/3*100</f>
        <v>4.8430493273542599</v>
      </c>
      <c r="C5" s="82">
        <f>('Scene 6'!$D$26+'Scene 6'!$D$27)/3*100</f>
        <v>4.1409284372167292</v>
      </c>
      <c r="D5" s="82">
        <f>('Scene 6'!$G$26+'Scene 6'!$G$27)*100</f>
        <v>0</v>
      </c>
      <c r="E5" s="11"/>
      <c r="F5" s="11"/>
      <c r="G5" s="11"/>
      <c r="I5" s="81" t="s">
        <v>156</v>
      </c>
      <c r="J5" s="82">
        <f>('Scene 7'!$B$26+'Scene 7'!$B$27)/3*100</f>
        <v>4.7787610619469021</v>
      </c>
      <c r="K5" s="82">
        <f>('Scene 7'!$D$26+'Scene 7'!$D$27)/3*100</f>
        <v>4.0445243362831862</v>
      </c>
      <c r="L5" s="82">
        <f>('Scene 7'!$G$26+'Scene 7'!$G$27)*100</f>
        <v>0</v>
      </c>
      <c r="M5" s="11"/>
      <c r="N5" s="11"/>
      <c r="O5" s="11"/>
    </row>
    <row r="6" spans="1:15" ht="15.55" thickTop="1" thickBot="1" x14ac:dyDescent="0.35">
      <c r="A6" s="1" t="s">
        <v>136</v>
      </c>
      <c r="B6" s="83">
        <f>SUM(B3:B5)</f>
        <v>4.8430493273542599</v>
      </c>
      <c r="C6" s="83">
        <f t="shared" ref="C6:G6" si="0">SUM(C3:C5)</f>
        <v>4.1409284372167292</v>
      </c>
      <c r="D6" s="83">
        <f t="shared" si="0"/>
        <v>0</v>
      </c>
      <c r="E6" s="1">
        <f t="shared" si="0"/>
        <v>0</v>
      </c>
      <c r="F6" s="1">
        <f t="shared" si="0"/>
        <v>0</v>
      </c>
      <c r="G6" s="1">
        <f t="shared" si="0"/>
        <v>0</v>
      </c>
      <c r="I6" s="1" t="s">
        <v>136</v>
      </c>
      <c r="J6" s="84">
        <f>SUM(J3:J5)</f>
        <v>4.7787610619469021</v>
      </c>
      <c r="K6" s="84">
        <f t="shared" ref="K6:O6" si="1">SUM(K3:K5)</f>
        <v>4.0445243362831862</v>
      </c>
      <c r="L6" s="84">
        <f t="shared" si="1"/>
        <v>0</v>
      </c>
      <c r="M6" s="1">
        <f t="shared" si="1"/>
        <v>0</v>
      </c>
      <c r="N6" s="1">
        <f t="shared" si="1"/>
        <v>0</v>
      </c>
      <c r="O6" s="1">
        <f t="shared" si="1"/>
        <v>0</v>
      </c>
    </row>
    <row r="7" spans="1:15" ht="15.55" thickTop="1" thickBot="1" x14ac:dyDescent="0.35"/>
    <row r="8" spans="1:15" ht="15.55" thickTop="1" thickBot="1" x14ac:dyDescent="0.35">
      <c r="A8" s="1" t="s">
        <v>138</v>
      </c>
      <c r="B8">
        <f>'Scene 1'!$J$6+'Scene 2'!$J$6+'Scene 3'!$J$6+'Scene 4'!$J$6+'Scene 5'!$J$6+'Scene 6'!$J$6</f>
        <v>0</v>
      </c>
      <c r="I8" s="1" t="s">
        <v>138</v>
      </c>
      <c r="J8">
        <f>'Scene 1'!$J$6+'Scene 2'!$J$6+'Scene 3'!$J$6+'Scene 4'!$J$6+'Scene 5'!$J$6+'Scene 6'!$J$6+'Scene 7'!$J$6</f>
        <v>0</v>
      </c>
    </row>
    <row r="9" spans="1:15" ht="15.55" thickTop="1" thickBot="1" x14ac:dyDescent="0.35">
      <c r="A9" s="1" t="s">
        <v>139</v>
      </c>
      <c r="B9">
        <f>'Scene 1'!$K$6+'Scene 2'!$K$6+'Scene 3'!$K$6+'Scene 4'!$K$6+'Scene 5'!$K$6+'Scene 6'!$K$6</f>
        <v>0</v>
      </c>
      <c r="I9" s="1" t="s">
        <v>139</v>
      </c>
      <c r="J9">
        <f>'Scene 1'!$K$6+'Scene 2'!$K$6+'Scene 3'!$K$6+'Scene 4'!$K$6+'Scene 5'!$K$6+'Scene 6'!$K$6+'Scene 7'!$K$6</f>
        <v>0</v>
      </c>
    </row>
    <row r="10" spans="1:15" ht="15.55" thickTop="1" thickBot="1" x14ac:dyDescent="0.35">
      <c r="A10" s="1" t="s">
        <v>141</v>
      </c>
      <c r="B10">
        <f>SUM('Scene 1'!$N$6,'Scene 2'!$N$6,'Scene 3'!$N$6,'Scene 4'!$N$6,'Scene 5'!$N$6,'Scene 6'!$N$6)</f>
        <v>0</v>
      </c>
      <c r="I10" s="1" t="s">
        <v>141</v>
      </c>
      <c r="J10">
        <f>SUM('Scene 1'!$N$6,'Scene 2'!$N$6,'Scene 3'!$N$6,'Scene 4'!$N$6,'Scene 5'!$N$6,'Scene 6'!$N$6,'Scene 7'!$N$6)</f>
        <v>0</v>
      </c>
    </row>
    <row r="11" spans="1:15" ht="14.95" thickTop="1" x14ac:dyDescent="0.3"/>
  </sheetData>
  <mergeCells count="2">
    <mergeCell ref="A1:G1"/>
    <mergeCell ref="I1:O1"/>
  </mergeCells>
  <conditionalFormatting sqref="B8:B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G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:J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O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FCFC-38CB-489C-B190-6FF96D3981F2}">
  <dimension ref="A1:N61"/>
  <sheetViews>
    <sheetView topLeftCell="B1" zoomScale="85" zoomScaleNormal="85" workbookViewId="0">
      <pane ySplit="1" topLeftCell="A39" activePane="bottomLeft" state="frozen"/>
      <selection pane="bottomLeft" activeCell="C61" sqref="C61"/>
    </sheetView>
  </sheetViews>
  <sheetFormatPr defaultRowHeight="14.4" x14ac:dyDescent="0.3"/>
  <cols>
    <col min="1" max="1" width="27.69921875" customWidth="1"/>
    <col min="2" max="2" width="64.796875" bestFit="1" customWidth="1"/>
    <col min="3" max="3" width="12.19921875" bestFit="1" customWidth="1"/>
    <col min="4" max="9" width="13.19921875" bestFit="1" customWidth="1"/>
    <col min="10" max="10" width="9.3984375" customWidth="1"/>
    <col min="11" max="11" width="10.296875" customWidth="1"/>
    <col min="12" max="14" width="13.19921875" bestFit="1" customWidth="1"/>
  </cols>
  <sheetData>
    <row r="1" spans="1:10" ht="19.399999999999999" thickTop="1" thickBot="1" x14ac:dyDescent="0.45">
      <c r="A1" s="15" t="s">
        <v>14</v>
      </c>
      <c r="B1" s="15" t="s">
        <v>15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</row>
    <row r="2" spans="1:10" ht="15.55" thickTop="1" thickBot="1" x14ac:dyDescent="0.35">
      <c r="A2" s="164" t="s">
        <v>31</v>
      </c>
      <c r="B2" s="165"/>
      <c r="C2" s="165"/>
      <c r="D2" s="165"/>
      <c r="E2" s="165"/>
      <c r="F2" s="165"/>
      <c r="G2" s="165"/>
      <c r="H2" s="165"/>
      <c r="I2" s="166"/>
    </row>
    <row r="3" spans="1:10" ht="15.55" customHeight="1" thickTop="1" thickBot="1" x14ac:dyDescent="0.35">
      <c r="A3" s="10" t="s">
        <v>59</v>
      </c>
      <c r="B3" s="10" t="s">
        <v>38</v>
      </c>
      <c r="C3" s="4">
        <f ca="1">NORMINV(RAND(),2.4,0.05)</f>
        <v>2.3917069453421429</v>
      </c>
      <c r="D3" s="4">
        <f ca="1">NORMINV(RAND(),2.3,0.05)</f>
        <v>2.3202224821505975</v>
      </c>
      <c r="E3" s="4">
        <f ca="1">NORMINV(RAND(),2.2,0.05)</f>
        <v>2.1704665207972869</v>
      </c>
      <c r="F3" s="4">
        <f ca="1">NORMINV(RAND(),2.1,0.05)</f>
        <v>2.0354961659989068</v>
      </c>
      <c r="G3" s="4">
        <f ca="1">NORMINV(RAND(),2,0.05)</f>
        <v>2.0259374213408639</v>
      </c>
      <c r="H3" s="4">
        <f ca="1">NORMINV(RAND(),1.9,0.05)</f>
        <v>1.7876330699330418</v>
      </c>
      <c r="I3" s="4">
        <f ca="1">NORMINV(RAND(),1.8,0.05)</f>
        <v>1.7337001459258281</v>
      </c>
      <c r="J3" s="35"/>
    </row>
    <row r="4" spans="1:10" ht="15.55" thickTop="1" thickBot="1" x14ac:dyDescent="0.35">
      <c r="A4" s="10" t="s">
        <v>36</v>
      </c>
      <c r="B4" s="10" t="s">
        <v>38</v>
      </c>
      <c r="C4" s="4">
        <f ca="1">NORMINV(RAND(),2,0.05)</f>
        <v>2.0697577728598548</v>
      </c>
      <c r="D4" s="4">
        <f ca="1">NORMINV(RAND(),2,0.05)</f>
        <v>2.0934346162144513</v>
      </c>
      <c r="E4" s="4">
        <f ca="1">NORMINV(RAND(),2.2,0.05)</f>
        <v>2.0655182459985637</v>
      </c>
      <c r="F4" s="4">
        <f ca="1">NORMINV(RAND(),2.5,0.05)</f>
        <v>2.542766674999358</v>
      </c>
      <c r="G4" s="4">
        <f ca="1">NORMINV(RAND(),2.7,0.05)</f>
        <v>2.6286747137210416</v>
      </c>
      <c r="H4" s="4">
        <f ca="1">NORMINV(RAND(),3,0.05)</f>
        <v>2.9872144468645132</v>
      </c>
      <c r="I4" s="4">
        <f ca="1">NORMINV(RAND(),3,0.05)</f>
        <v>2.9480750604622417</v>
      </c>
      <c r="J4" s="35"/>
    </row>
    <row r="5" spans="1:10" ht="15.55" thickTop="1" thickBot="1" x14ac:dyDescent="0.35">
      <c r="A5" s="10" t="s">
        <v>42</v>
      </c>
      <c r="B5" s="10" t="s">
        <v>96</v>
      </c>
      <c r="C5" s="4">
        <v>7</v>
      </c>
      <c r="D5" s="4">
        <f t="shared" ref="D5:I5" si="0">3.5+C5</f>
        <v>10.5</v>
      </c>
      <c r="E5" s="4">
        <f t="shared" si="0"/>
        <v>14</v>
      </c>
      <c r="F5" s="4">
        <f t="shared" si="0"/>
        <v>17.5</v>
      </c>
      <c r="G5" s="4">
        <f t="shared" si="0"/>
        <v>21</v>
      </c>
      <c r="H5" s="4">
        <f t="shared" si="0"/>
        <v>24.5</v>
      </c>
      <c r="I5" s="4">
        <f t="shared" si="0"/>
        <v>28</v>
      </c>
      <c r="J5" s="4"/>
    </row>
    <row r="6" spans="1:10" ht="15.55" thickTop="1" thickBot="1" x14ac:dyDescent="0.35">
      <c r="A6" s="10" t="s">
        <v>43</v>
      </c>
      <c r="B6" s="10" t="s">
        <v>97</v>
      </c>
      <c r="C6" s="4">
        <v>4</v>
      </c>
      <c r="D6" s="4">
        <f t="shared" ref="D6:I6" si="1">1.5+C6</f>
        <v>5.5</v>
      </c>
      <c r="E6" s="4">
        <f t="shared" si="1"/>
        <v>7</v>
      </c>
      <c r="F6" s="4">
        <f t="shared" si="1"/>
        <v>8.5</v>
      </c>
      <c r="G6" s="4">
        <f t="shared" si="1"/>
        <v>10</v>
      </c>
      <c r="H6" s="4">
        <f t="shared" si="1"/>
        <v>11.5</v>
      </c>
      <c r="I6" s="4">
        <f t="shared" si="1"/>
        <v>13</v>
      </c>
    </row>
    <row r="7" spans="1:10" ht="15.55" thickTop="1" thickBot="1" x14ac:dyDescent="0.35">
      <c r="A7" s="10" t="s">
        <v>99</v>
      </c>
      <c r="B7" s="10" t="s">
        <v>101</v>
      </c>
      <c r="C7" s="4">
        <f>IF('Scene 1'!$N$1&gt;0,1,0)</f>
        <v>0</v>
      </c>
      <c r="D7" s="4">
        <f>IF('Scene 2'!$N$1&gt;0,1,0)+C7</f>
        <v>0</v>
      </c>
      <c r="E7" s="4">
        <f>IF('Scene 3'!$N$1&gt;0,1,0)+D7</f>
        <v>0</v>
      </c>
      <c r="F7" s="4">
        <f>IF('Scene 4'!$N$1&gt;0,1,0)+E7</f>
        <v>0</v>
      </c>
      <c r="G7" s="4">
        <f>IF('Scene 5'!$N$1&gt;0,1,0)+F7</f>
        <v>0</v>
      </c>
      <c r="H7" s="4">
        <f>IF('Scene 6'!$N$1&gt;0,1,0)+G7</f>
        <v>0</v>
      </c>
      <c r="I7" s="4">
        <f>IF('Scene 7'!$N$1&gt;0,1,0)+H7</f>
        <v>0</v>
      </c>
    </row>
    <row r="8" spans="1:10" ht="15.55" thickTop="1" thickBot="1" x14ac:dyDescent="0.35">
      <c r="A8" s="10" t="s">
        <v>100</v>
      </c>
      <c r="B8" s="10" t="s">
        <v>101</v>
      </c>
      <c r="C8" s="4">
        <f>IF('Scene 1'!$G$1&gt;0,1,0)</f>
        <v>0</v>
      </c>
      <c r="D8" s="4">
        <f>IF('Scene 2'!$G$1&gt;0,1,0)+C8</f>
        <v>0</v>
      </c>
      <c r="E8" s="4">
        <f>IF('Scene 3'!$G$1&gt;0,1,0)+D8</f>
        <v>0</v>
      </c>
      <c r="F8" s="4">
        <f>IF('Scene 4'!$G$1&gt;0,1,0)+E8</f>
        <v>0</v>
      </c>
      <c r="G8" s="4">
        <f>IF('Scene 5'!$G$1&gt;0,1,0)+F8</f>
        <v>0</v>
      </c>
      <c r="H8" s="4">
        <f>IF('Scene 6'!$G$1&gt;0,1,0)+G8</f>
        <v>0</v>
      </c>
      <c r="I8" s="4">
        <f>IF('Scene 7'!$G$1&gt;0,1,0)+H8</f>
        <v>0</v>
      </c>
    </row>
    <row r="9" spans="1:10" ht="15.55" thickTop="1" thickBot="1" x14ac:dyDescent="0.35">
      <c r="A9" s="10" t="s">
        <v>44</v>
      </c>
      <c r="B9" s="10" t="s">
        <v>98</v>
      </c>
      <c r="C9" s="4">
        <f t="shared" ref="C9:I9" si="2">100+(C5+C48)*IF(C7=1,0.5,1)</f>
        <v>107</v>
      </c>
      <c r="D9" s="4">
        <f t="shared" si="2"/>
        <v>110.5</v>
      </c>
      <c r="E9" s="4">
        <f t="shared" si="2"/>
        <v>114</v>
      </c>
      <c r="F9" s="4">
        <f t="shared" si="2"/>
        <v>117.5</v>
      </c>
      <c r="G9" s="4">
        <f t="shared" si="2"/>
        <v>121</v>
      </c>
      <c r="H9" s="4">
        <f t="shared" si="2"/>
        <v>124.5</v>
      </c>
      <c r="I9" s="4">
        <f t="shared" si="2"/>
        <v>128</v>
      </c>
    </row>
    <row r="10" spans="1:10" ht="15.55" thickTop="1" thickBot="1" x14ac:dyDescent="0.35">
      <c r="A10" s="10" t="s">
        <v>45</v>
      </c>
      <c r="B10" s="10" t="s">
        <v>98</v>
      </c>
      <c r="C10" s="4">
        <f t="shared" ref="C10:I10" si="3">100+(C6+C48)*IF(C8=1,0.5,1)</f>
        <v>104</v>
      </c>
      <c r="D10" s="4">
        <f t="shared" si="3"/>
        <v>105.5</v>
      </c>
      <c r="E10" s="4">
        <f t="shared" si="3"/>
        <v>107</v>
      </c>
      <c r="F10" s="4">
        <f t="shared" si="3"/>
        <v>108.5</v>
      </c>
      <c r="G10" s="4">
        <f t="shared" si="3"/>
        <v>110</v>
      </c>
      <c r="H10" s="4">
        <f t="shared" si="3"/>
        <v>111.5</v>
      </c>
      <c r="I10" s="4">
        <f t="shared" si="3"/>
        <v>113</v>
      </c>
    </row>
    <row r="11" spans="1:10" ht="15.55" thickTop="1" thickBot="1" x14ac:dyDescent="0.35"/>
    <row r="12" spans="1:10" ht="15.55" thickTop="1" thickBot="1" x14ac:dyDescent="0.35">
      <c r="A12" s="164" t="s">
        <v>46</v>
      </c>
      <c r="B12" s="165"/>
      <c r="C12" s="165"/>
      <c r="D12" s="165"/>
      <c r="E12" s="165"/>
      <c r="F12" s="165"/>
      <c r="G12" s="165"/>
      <c r="H12" s="165"/>
      <c r="I12" s="166"/>
    </row>
    <row r="13" spans="1:10" ht="15.55" thickTop="1" thickBot="1" x14ac:dyDescent="0.35">
      <c r="A13" s="9" t="s">
        <v>11</v>
      </c>
      <c r="B13" s="9" t="s">
        <v>57</v>
      </c>
      <c r="C13" s="4">
        <f>IF('Scene 1'!$B$18=0,0.3,SQRT(('Scene 1'!$B$18)/4))</f>
        <v>0.3</v>
      </c>
      <c r="D13" s="4">
        <f>IF('Scene 2'!$B$18=0,0.3,SQRT(('Scene 2'!$B$18)/4))</f>
        <v>0.3</v>
      </c>
      <c r="E13" s="4">
        <f>IF('Scene 3'!$B$18=0,0.3,SQRT(('Scene 3'!$B$18)/4))</f>
        <v>0.3</v>
      </c>
      <c r="F13" s="4">
        <f>IF('Scene 4'!$B$18=0,0.3,SQRT(('Scene 4'!$B$18)/4))</f>
        <v>0.3</v>
      </c>
      <c r="G13" s="4">
        <f>IF('Scene 5'!$B$18=0,0.3,SQRT(('Scene 5'!$B$18)/4))</f>
        <v>0.3</v>
      </c>
      <c r="H13" s="4">
        <f>IF('Scene 6'!$B$18=0,0.3,SQRT(('Scene 6'!$B$18)/4))</f>
        <v>0.3</v>
      </c>
      <c r="I13" s="4">
        <f>IF('Scene 7'!$B$18=0,0.3,SQRT(('Scene 7'!$B$18)/4))</f>
        <v>0.3</v>
      </c>
    </row>
    <row r="14" spans="1:10" ht="15.55" thickTop="1" thickBot="1" x14ac:dyDescent="0.35">
      <c r="A14" s="9" t="s">
        <v>66</v>
      </c>
      <c r="B14" s="9" t="s">
        <v>56</v>
      </c>
      <c r="C14" s="4">
        <f>1.1^IF('Scene 1'!$B$15=0,0,'Scene 1'!$B$15)</f>
        <v>1</v>
      </c>
      <c r="D14" s="4">
        <f>1.1^IF('Scene 1'!$B$15+'Scene 2'!$B$15=0,0,'Scene 1'!$B$15+'Scene 2'!$B$15)</f>
        <v>1</v>
      </c>
      <c r="E14" s="4">
        <f>1.1^IF('Scene 1'!$B$15+'Scene 2'!$B$15+'Scene 3'!$B$15=0,0,'Scene 1'!$B$15+'Scene 2'!$B$15+'Scene 3'!$B$15)</f>
        <v>1</v>
      </c>
      <c r="F14" s="4">
        <f>1.1^IF('Scene 1'!$B$15+'Scene 2'!$B$15+'Scene 3'!$B$15+'Scene 4'!$B$15=0,0,'Scene 1'!$B$15+'Scene 2'!$B$15+'Scene 3'!$B$15+'Scene 4'!$B$15)</f>
        <v>1</v>
      </c>
      <c r="G14" s="4">
        <f>1.1^IF('Scene 1'!$B$15+'Scene 2'!$B$15+'Scene 3'!$B$15+'Scene 4'!$B$15+'Scene 5'!$B$15=0,0,'Scene 1'!$B$15+'Scene 2'!$B$15+'Scene 3'!$B$15+'Scene 4'!$B$15+'Scene 5'!$B$15)</f>
        <v>1</v>
      </c>
      <c r="H14" s="4">
        <f>1.1^IF('Scene 1'!$B$15+'Scene 2'!$B$15+'Scene 3'!$B$15+'Scene 4'!$B$15+'Scene 5'!$B$15+'Scene 6'!$B$15=0,0,'Scene 1'!$B$15+'Scene 2'!$B$15+'Scene 3'!$B$15+'Scene 4'!$B$15+'Scene 5'!$B$15+'Scene 6'!$B$15)</f>
        <v>1</v>
      </c>
      <c r="I14" s="4">
        <f>1.1^IF('Scene 1'!$B$15+'Scene 2'!$B$15+'Scene 3'!$B$15+'Scene 4'!$B$15+'Scene 5'!$B$15+'Scene 6'!$B$15+'Scene 7'!$B$15=0,0,'Scene 1'!$B$15+'Scene 2'!$B$15+'Scene 3'!$B$15+'Scene 4'!$B$15+'Scene 5'!$B$15+'Scene 6'!$B$15+'Scene 7'!$B$15)</f>
        <v>1</v>
      </c>
    </row>
    <row r="15" spans="1:10" ht="15.55" thickTop="1" thickBot="1" x14ac:dyDescent="0.35">
      <c r="A15" s="9" t="s">
        <v>91</v>
      </c>
      <c r="B15" s="9" t="s">
        <v>127</v>
      </c>
      <c r="C15" s="4">
        <f>IF('Scene 1'!$B$16=1,0.95,IF('Scene 1'!$B$16&gt;=2,1,0.9))</f>
        <v>0.9</v>
      </c>
      <c r="D15" s="4">
        <f>IF('Scene 2'!$B$16=1,0.95,IF('Scene 2'!$B$16&gt;=2,1,0.9))</f>
        <v>0.9</v>
      </c>
      <c r="E15" s="4">
        <f>IF('Scene 3'!$B$16=1,0.95,IF('Scene 3'!$B$16&gt;=2,1,0.9))</f>
        <v>0.9</v>
      </c>
      <c r="F15" s="4">
        <f>IF('Scene 4'!$B$16=1,0.95,IF('Scene 4'!$B$16&gt;=2,1,0.9))</f>
        <v>0.9</v>
      </c>
      <c r="G15" s="4">
        <f>IF('Scene 5'!$B$16=1,0.95,IF('Scene 5'!$B$16&gt;=2,1,0.9))</f>
        <v>0.9</v>
      </c>
      <c r="H15" s="4">
        <f>IF('Scene 6'!$B$16=1,0.95,IF('Scene 6'!$B$16&gt;=2,1,0.9))</f>
        <v>0.9</v>
      </c>
      <c r="I15" s="4">
        <f>IF('Scene 7'!$B$16=1,0.95,IF('Scene 7'!$B$16&gt;=2,1,0.9))</f>
        <v>0.9</v>
      </c>
    </row>
    <row r="16" spans="1:10" ht="15.55" thickTop="1" thickBot="1" x14ac:dyDescent="0.35">
      <c r="A16" s="9" t="s">
        <v>12</v>
      </c>
      <c r="B16" s="9" t="s">
        <v>13</v>
      </c>
      <c r="C16">
        <f>VLOOKUP($C$24,' CCGR Reveal'!$B$2:$C$26,2,FALSE)</f>
        <v>0.91</v>
      </c>
      <c r="D16">
        <f>VLOOKUP($D$24,' CCGR Reveal'!$B$2:$C$26,2,FALSE)</f>
        <v>0.88</v>
      </c>
      <c r="E16">
        <f>VLOOKUP($E$24,' CCGR Reveal'!$B$2:$C$26,2,FALSE)</f>
        <v>0.85</v>
      </c>
      <c r="F16">
        <f>VLOOKUP($F$24,' CCGR Reveal'!$B$2:$C$26,2,FALSE)</f>
        <v>0.82</v>
      </c>
      <c r="G16">
        <f>VLOOKUP($G$24,' CCGR Reveal'!$B$2:$C$26,2,FALSE)</f>
        <v>0.79</v>
      </c>
      <c r="H16">
        <f>VLOOKUP($H$24,' CCGR Reveal'!$B$2:$C$26,2,FALSE)</f>
        <v>0.75</v>
      </c>
      <c r="I16">
        <f>VLOOKUP($I$24,' CCGR Reveal'!$B$2:$C$26,2,FALSE)</f>
        <v>0.7</v>
      </c>
    </row>
    <row r="17" spans="1:9" ht="15.55" thickTop="1" thickBot="1" x14ac:dyDescent="0.35">
      <c r="A17" s="9" t="s">
        <v>61</v>
      </c>
      <c r="B17" s="9" t="s">
        <v>58</v>
      </c>
      <c r="C17" s="4">
        <f>IF('Scene 1'!$B$9="SH",'Scene 1'!$B$10,IF('Scene 1'!$B$9="CD",'Scene 1'!$B$10,0))*IF('Scene 1'!$B$11="ICE",'BACKGROUND Calcs'!C3,IF('Scene 1'!$B$11="EV",'BACKGROUND Calcs'!C4,0))</f>
        <v>0</v>
      </c>
      <c r="D17" s="36">
        <f>IF('Scene 2'!$B$9="SH",'Scene 2'!$B$10,IF('Scene 2'!$B$9="CD",'Scene 2'!$B$10,0))*IF('Scene 2'!$B$11="ICE",'BACKGROUND Calcs'!D3,IF('Scene 2'!$B$11="EV",'BACKGROUND Calcs'!D4,0))</f>
        <v>0</v>
      </c>
      <c r="E17" s="36">
        <f>IF('Scene 3'!$B$9="SH",'Scene 3'!$B$10,IF('Scene 3'!$B$9="CD",'Scene 3'!$B$10,0))*IF('Scene 3'!$B$11="ICE",'BACKGROUND Calcs'!E3,IF('Scene 3'!$B$11="EV",'BACKGROUND Calcs'!E4,0))</f>
        <v>0</v>
      </c>
      <c r="F17" s="36">
        <f>IF('Scene 4'!$B$9="SH",'Scene 4'!$B$10,IF('Scene 4'!$B$9="CD",'Scene 4'!$B$10,0))*IF('Scene 4'!$B$11="ICE",'BACKGROUND Calcs'!F3,IF('Scene 4'!$B$11="EV",'BACKGROUND Calcs'!F4,0))</f>
        <v>0</v>
      </c>
      <c r="G17" s="36">
        <f>IF('Scene 5'!$B$9="SH",'Scene 5'!$B$10,IF('Scene 5'!$B$9="CD",'Scene 5'!$B$10,0))*IF('Scene 5'!$B$11="ICE",'BACKGROUND Calcs'!G3,IF('Scene 5'!$B$11="EV",'BACKGROUND Calcs'!G4,0))</f>
        <v>0</v>
      </c>
      <c r="H17" s="36">
        <f>IF('Scene 6'!$B$9="SH",'Scene 6'!$B$10,IF('Scene 6'!$B$9="CD",'Scene 6'!$B$10,0))*IF('Scene 6'!$B$11="ICE",'BACKGROUND Calcs'!H3,IF('Scene 6'!$B$11="EV",'BACKGROUND Calcs'!H4,0))</f>
        <v>0</v>
      </c>
      <c r="I17" s="36">
        <f>IF('Scene 7'!$B$9="SH",'Scene 7'!$B$10,IF('Scene 7'!$B$9="CD",'Scene 7'!$B$10,0))*IF('Scene 7'!$B$11="ICE",'BACKGROUND Calcs'!I3,IF('Scene 7'!$B$11="EV",'BACKGROUND Calcs'!I4,0))</f>
        <v>0</v>
      </c>
    </row>
    <row r="18" spans="1:9" ht="15.55" thickTop="1" thickBot="1" x14ac:dyDescent="0.35">
      <c r="A18" s="9" t="s">
        <v>73</v>
      </c>
      <c r="B18" s="9" t="s">
        <v>74</v>
      </c>
      <c r="C18" s="4">
        <f>IF('Scene 1'!$B$13=1,10/9,1)</f>
        <v>1</v>
      </c>
      <c r="D18" s="4">
        <f>IF('Scene 2'!$B$13=1,10/9,1)</f>
        <v>1</v>
      </c>
      <c r="E18" s="4">
        <f>IF('Scene 3'!$B$13=1,10/9,1)</f>
        <v>1</v>
      </c>
      <c r="F18" s="4">
        <f>IF('Scene 4'!$B$13=1,10/9,1)</f>
        <v>1</v>
      </c>
      <c r="G18" s="4">
        <f>IF('Scene 5'!$B$13=1,10/9,1)</f>
        <v>1</v>
      </c>
      <c r="H18" s="4">
        <f>IF('Scene 6'!$B$13=1,10/9,1)</f>
        <v>1</v>
      </c>
      <c r="I18" s="4">
        <f>IF('Scene 7'!$B$13=1,10/9,1)</f>
        <v>1</v>
      </c>
    </row>
    <row r="19" spans="1:9" ht="15.55" thickTop="1" thickBot="1" x14ac:dyDescent="0.35">
      <c r="A19" s="9" t="s">
        <v>60</v>
      </c>
      <c r="B19" s="9" t="s">
        <v>115</v>
      </c>
      <c r="C19" s="4">
        <f>C17*C13*C14*IF('Scene 1'!B11="EV",'BACKGROUND Calcs'!C15,1)*C16*C18</f>
        <v>0</v>
      </c>
      <c r="D19" s="4">
        <f>D17*D13*D14*IF('Scene 2'!B11="EV",'BACKGROUND Calcs'!D15,1)*D16*D18</f>
        <v>0</v>
      </c>
      <c r="E19" s="36">
        <f>E17*E13*E14*IF('Scene 3'!B11="EV",'BACKGROUND Calcs'!E15,1)*E16*E18</f>
        <v>0</v>
      </c>
      <c r="F19" s="36">
        <f>F17*F13*F14*IF('Scene 4'!B11="EV",'BACKGROUND Calcs'!F15,1)*F16*F18</f>
        <v>0</v>
      </c>
      <c r="G19" s="36">
        <f>G17*G13*G14*IF('Scene 5'!B11="EV",'BACKGROUND Calcs'!G15,1)*G16*G18</f>
        <v>0</v>
      </c>
      <c r="H19" s="36">
        <f>H17*H13*H14*IF('Scene 6'!B11="EV",'BACKGROUND Calcs'!H15,1)*H16*H18</f>
        <v>0</v>
      </c>
      <c r="I19" s="36">
        <f>I17*I13*I14*IF('Scene 7'!B11="EV",'BACKGROUND Calcs'!I15,1)*I16*I18</f>
        <v>0</v>
      </c>
    </row>
    <row r="20" spans="1:9" ht="15.55" thickTop="1" thickBot="1" x14ac:dyDescent="0.35">
      <c r="A20" s="9" t="s">
        <v>93</v>
      </c>
      <c r="B20" s="9" t="s">
        <v>94</v>
      </c>
      <c r="C20" s="4">
        <f>IF('Scene 1'!$B$9="Global",'Scene 1'!$B$10,0)+'Scene 1'!$B$16</f>
        <v>0</v>
      </c>
      <c r="D20" s="4">
        <f>(IF('Scene 2'!$B$9="Global",'Scene 2'!$B$10,0)+'Scene 2'!$B$17+C20)</f>
        <v>0</v>
      </c>
      <c r="E20" s="4">
        <f>(IF('Scene 3'!$B$9="Global",'Scene 3'!$B$10,0)+'Scene 3'!$B$16+D20)</f>
        <v>0</v>
      </c>
      <c r="F20" s="4">
        <f>(IF('Scene 4'!$B$9="Global",'Scene 4'!$B$10,0)+'Scene 4'!$B$16+E20)</f>
        <v>0</v>
      </c>
      <c r="G20" s="4">
        <f>(IF('Scene 5'!$B$9="Global",'Scene 5'!$B$10,0)+'Scene 5'!$B$16+F20)</f>
        <v>0</v>
      </c>
      <c r="H20" s="4">
        <f>(IF('Scene 6'!$B$9="Global",'Scene 6'!$B$10,0)+'Scene 6'!$B$16+G20)</f>
        <v>0</v>
      </c>
      <c r="I20" s="4">
        <f>(IF('Scene 7'!$B$9="Global",'Scene 7'!$B$10,0)+'Scene 7'!$B$16+H20)</f>
        <v>0</v>
      </c>
    </row>
    <row r="21" spans="1:9" ht="15.55" thickTop="1" thickBot="1" x14ac:dyDescent="0.35">
      <c r="A21" s="9" t="s">
        <v>53</v>
      </c>
      <c r="B21" s="9" t="s">
        <v>54</v>
      </c>
      <c r="C21" s="4">
        <f>C20/2</f>
        <v>0</v>
      </c>
      <c r="D21" s="4">
        <f t="shared" ref="D21:I21" si="4">D20/2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  <c r="I21" s="4">
        <f t="shared" si="4"/>
        <v>0</v>
      </c>
    </row>
    <row r="22" spans="1:9" ht="15.55" thickTop="1" thickBot="1" x14ac:dyDescent="0.35">
      <c r="A22" s="9" t="s">
        <v>41</v>
      </c>
      <c r="B22" s="9" t="s">
        <v>37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</row>
    <row r="23" spans="1:9" ht="15.55" thickTop="1" thickBot="1" x14ac:dyDescent="0.35">
      <c r="A23" s="9" t="s">
        <v>49</v>
      </c>
      <c r="B23" s="9" t="s">
        <v>39</v>
      </c>
      <c r="C23" s="27">
        <f t="shared" ref="C23:I23" si="5">(16.2+C21)/C10</f>
        <v>0.15576923076923077</v>
      </c>
      <c r="D23" s="27">
        <f t="shared" si="5"/>
        <v>0.15355450236966825</v>
      </c>
      <c r="E23" s="27">
        <f t="shared" si="5"/>
        <v>0.15140186915887849</v>
      </c>
      <c r="F23" s="27">
        <f t="shared" si="5"/>
        <v>0.14930875576036864</v>
      </c>
      <c r="G23" s="27">
        <f t="shared" si="5"/>
        <v>0.14727272727272728</v>
      </c>
      <c r="H23" s="27">
        <f t="shared" si="5"/>
        <v>0.14529147982062779</v>
      </c>
      <c r="I23" s="27">
        <f t="shared" si="5"/>
        <v>0.14336283185840706</v>
      </c>
    </row>
    <row r="24" spans="1:9" ht="15.55" thickTop="1" thickBot="1" x14ac:dyDescent="0.35">
      <c r="A24" s="9" t="s">
        <v>152</v>
      </c>
      <c r="B24" s="9" t="s">
        <v>153</v>
      </c>
      <c r="C24" s="74">
        <f>MAX(0,MIN(25,'Scene 1'!$B$4+SUM('Scene 1'!$B$20:$B$21)))</f>
        <v>14</v>
      </c>
      <c r="D24" s="74">
        <f>MAX(0,MIN(25,'Scene 2'!$B$4+SUM('Scene 2'!$B$20:$B$21)))</f>
        <v>13</v>
      </c>
      <c r="E24" s="74">
        <f>MAX(0,MIN(25,'Scene 3'!$B$4+SUM('Scene 3'!$B$20:$B$21)))</f>
        <v>12</v>
      </c>
      <c r="F24" s="74">
        <f>MAX(0,MIN(25,'Scene 4'!$B$4+SUM('Scene 4'!$B$20:$B$21)))</f>
        <v>11</v>
      </c>
      <c r="G24" s="74">
        <f>MAX(0,MIN(25,'Scene 5'!$B$4+SUM('Scene 5'!$B$20:$B$21)))</f>
        <v>10</v>
      </c>
      <c r="H24" s="74">
        <f>MAX(0,MIN(25,'Scene 6'!$B$4+SUM('Scene 6'!$B$20:$B$21)))</f>
        <v>9</v>
      </c>
      <c r="I24" s="74">
        <f>MAX(0,MIN(25,'Scene 7'!$B$4+SUM('Scene 7'!$B$20:$B$21)))</f>
        <v>8</v>
      </c>
    </row>
    <row r="25" spans="1:9" ht="15.55" thickTop="1" thickBot="1" x14ac:dyDescent="0.35">
      <c r="A25" s="4"/>
      <c r="B25" s="4"/>
      <c r="C25" s="4"/>
      <c r="D25" s="4"/>
      <c r="E25" s="4"/>
      <c r="F25" s="4"/>
      <c r="G25" s="4"/>
      <c r="H25" s="4"/>
      <c r="I25" s="4"/>
    </row>
    <row r="26" spans="1:9" ht="15.55" thickTop="1" thickBot="1" x14ac:dyDescent="0.35">
      <c r="A26" s="161" t="s">
        <v>47</v>
      </c>
      <c r="B26" s="162"/>
      <c r="C26" s="162"/>
      <c r="D26" s="162"/>
      <c r="E26" s="162"/>
      <c r="F26" s="162"/>
      <c r="G26" s="162"/>
      <c r="H26" s="162"/>
      <c r="I26" s="163"/>
    </row>
    <row r="27" spans="1:9" ht="15.55" thickTop="1" thickBot="1" x14ac:dyDescent="0.35">
      <c r="A27" s="9" t="s">
        <v>11</v>
      </c>
      <c r="B27" s="9" t="s">
        <v>57</v>
      </c>
      <c r="C27" s="4">
        <f>IF('Scene 1'!$D$18=0,0.3,SQRT(('Scene 1'!$D$18)/4))</f>
        <v>0.3</v>
      </c>
      <c r="D27" s="4">
        <f>IF('Scene 2'!$D$18=0,0.3,SQRT(('Scene 2'!$D$18)/4))</f>
        <v>0.3</v>
      </c>
      <c r="E27" s="4">
        <f>IF('Scene 3'!$D$18=0,0.3,SQRT(('Scene 3'!$D$18)/4))</f>
        <v>0.3</v>
      </c>
      <c r="F27" s="4">
        <f>IF('Scene 4'!$D$18=0,0.3,SQRT(('Scene 4'!$D$18)/4))</f>
        <v>0.3</v>
      </c>
      <c r="G27" s="4">
        <f>IF('Scene 5'!$D$18=0,0.3,SQRT(('Scene 5'!$D$18)/4))</f>
        <v>0.3</v>
      </c>
      <c r="H27" s="4">
        <f>IF('Scene 6'!$D$18=0,0.3,SQRT(('Scene 6'!$D$18)/4))</f>
        <v>0.3</v>
      </c>
      <c r="I27" s="4">
        <f>IF('Scene 7'!$D$18=0,0.3,SQRT(('Scene 7'!$D$18)/4))</f>
        <v>0.3</v>
      </c>
    </row>
    <row r="28" spans="1:9" ht="15.55" thickTop="1" thickBot="1" x14ac:dyDescent="0.35">
      <c r="A28" s="9" t="s">
        <v>66</v>
      </c>
      <c r="B28" s="9" t="s">
        <v>55</v>
      </c>
      <c r="C28" s="4">
        <f>1.1^IF('Scene 1'!$D$15=0,0,'Scene 1'!$D$15)</f>
        <v>1</v>
      </c>
      <c r="D28" s="4">
        <f>1.1^IF('Scene 1'!$D$15+'Scene 2'!$D$15=0,0,'Scene 1'!$D$15+'Scene 2'!$D$15)</f>
        <v>1</v>
      </c>
      <c r="E28" s="4">
        <f>1.1^IF('Scene 1'!$D$15+'Scene 2'!$D$15+'Scene 3'!$D$15=0,0,'Scene 1'!$D$15+'Scene 2'!$D$15+'Scene 3'!$D$15)</f>
        <v>1</v>
      </c>
      <c r="F28" s="4">
        <f>1.1^IF('Scene 1'!$D$15+'Scene 2'!$D$15+'Scene 3'!$D$15+'Scene 4'!$D$15=0,0,'Scene 1'!$D$15+'Scene 2'!$D$15+'Scene 3'!$D$15+'Scene 4'!$D$15)</f>
        <v>1</v>
      </c>
      <c r="G28" s="4">
        <f>1.1^IF('Scene 1'!$D$15+'Scene 2'!$D$15+'Scene 3'!$D$15+'Scene 4'!$D$15+'Scene 5'!$D$15=0,0,'Scene 1'!$D$15+'Scene 2'!$D$15+'Scene 3'!$D$15+'Scene 4'!$D$15+'Scene 5'!$D$15)</f>
        <v>1</v>
      </c>
      <c r="H28" s="4">
        <f>1.1^IF('Scene 1'!$D$15+'Scene 2'!$D$15+'Scene 3'!$D$15+'Scene 4'!$D$15+'Scene 5'!$D$15+'Scene 6'!$D$15=0,0,'Scene 1'!$D$15+'Scene 2'!$D$15+'Scene 3'!$D$15+'Scene 4'!$D$15+'Scene 5'!$D$15+'Scene 6'!$D$15)</f>
        <v>1</v>
      </c>
      <c r="I28" s="4">
        <f>1.1^IF('Scene 1'!$D$15+'Scene 2'!$D$15+'Scene 3'!$D$15+'Scene 4'!$D$15+'Scene 5'!$D$15+'Scene 6'!$D$15+'Scene 7'!$D$15=0,0,'Scene 1'!$D$15+'Scene 2'!$D$15+'Scene 3'!$D$15+'Scene 4'!$D$15+'Scene 5'!$D$15+'Scene 6'!$D$15+'Scene 7'!$D$15)</f>
        <v>1</v>
      </c>
    </row>
    <row r="29" spans="1:9" ht="15.55" thickTop="1" thickBot="1" x14ac:dyDescent="0.35">
      <c r="A29" s="9" t="s">
        <v>91</v>
      </c>
      <c r="B29" s="9" t="s">
        <v>127</v>
      </c>
      <c r="C29" s="4">
        <f>IF('Scene 1'!$D$16=1,0.95,IF('Scene 1'!$D$16&gt;=2,1,0.9))</f>
        <v>0.9</v>
      </c>
      <c r="D29" s="4">
        <f>IF('Scene 2'!$D$16=1,0.95,IF('Scene 2'!$D$16&gt;=2,1,0.9))</f>
        <v>0.9</v>
      </c>
      <c r="E29" s="4">
        <f>IF('Scene 3'!$D$16=1,0.95,IF('Scene 3'!$D$16&gt;=2,1,0.9))</f>
        <v>0.9</v>
      </c>
      <c r="F29" s="4">
        <f>IF('Scene 4'!$D$16=1,0.95,IF('Scene 4'!$D$16&gt;=2,1,0.9))</f>
        <v>0.9</v>
      </c>
      <c r="G29" s="4">
        <f>IF('Scene 5'!$D$16=1,0.95,IF('Scene 5'!$D$16&gt;=2,1,0.9))</f>
        <v>0.9</v>
      </c>
      <c r="H29" s="4">
        <f>IF('Scene 6'!$D$16=1,0.95,IF('Scene 6'!$D$16&gt;=2,1,0.9))</f>
        <v>0.9</v>
      </c>
      <c r="I29" s="4">
        <f>IF('Scene 7'!$D$16=1,0.95,IF('Scene 7'!$D$16&gt;=2,1,0.9))</f>
        <v>0.9</v>
      </c>
    </row>
    <row r="30" spans="1:9" ht="15.55" thickTop="1" thickBot="1" x14ac:dyDescent="0.35">
      <c r="A30" s="9" t="s">
        <v>12</v>
      </c>
      <c r="B30" s="9" t="s">
        <v>13</v>
      </c>
      <c r="C30">
        <f>VLOOKUP($C$38,' CCGR Reveal'!$B$2:$C$26,2,FALSE)</f>
        <v>0.91</v>
      </c>
      <c r="D30">
        <f>VLOOKUP($D$38,' CCGR Reveal'!$B$2:$C$26,2,FALSE)</f>
        <v>0.88</v>
      </c>
      <c r="E30">
        <f>VLOOKUP($E$38,' CCGR Reveal'!$B$2:$C$26,2,FALSE)</f>
        <v>0.85</v>
      </c>
      <c r="F30">
        <f>VLOOKUP($F$38,' CCGR Reveal'!$B$2:$C$26,2,FALSE)</f>
        <v>0.82</v>
      </c>
      <c r="G30">
        <f>VLOOKUP($G$38,' CCGR Reveal'!$B$2:$C$26,2,FALSE)</f>
        <v>0.79</v>
      </c>
      <c r="H30">
        <f>VLOOKUP($H$38,' CCGR Reveal'!$B$2:$C$26,2,FALSE)</f>
        <v>0.75</v>
      </c>
      <c r="I30">
        <f>VLOOKUP($I$38,' CCGR Reveal'!$B$2:$C$26,2,FALSE)</f>
        <v>0.7</v>
      </c>
    </row>
    <row r="31" spans="1:9" ht="15.55" thickTop="1" thickBot="1" x14ac:dyDescent="0.35">
      <c r="A31" s="9" t="s">
        <v>61</v>
      </c>
      <c r="B31" s="9" t="s">
        <v>58</v>
      </c>
      <c r="C31" s="4">
        <f>IF('Scene 1'!$D$9="SH",'Scene 1'!$D$10,IF('Scene 1'!$D$9="CD",'Scene 1'!$D$10,0))*IF('Scene 1'!$D$11="ICE",'BACKGROUND Calcs'!C3,IF('Scene 1'!$D$11="EV",'BACKGROUND Calcs'!C4,0))</f>
        <v>0</v>
      </c>
      <c r="D31" s="36">
        <f>IF('Scene 2'!$D$9="SH",'Scene 2'!$D$10,IF('Scene 2'!$D$9="CD",'Scene 2'!$D$10,0))*IF('Scene 2'!$D$11="ICE",'BACKGROUND Calcs'!D3,IF('Scene 2'!$D$11="EV",'BACKGROUND Calcs'!D4,0))</f>
        <v>0</v>
      </c>
      <c r="E31" s="36">
        <f>IF('Scene 3'!$D$9="SH",'Scene 3'!$D$10,IF('Scene 3'!$D$9="CD",'Scene 3'!$D$10,0))*IF('Scene 3'!$D$11="ICE",'BACKGROUND Calcs'!E3,IF('Scene 3'!$D$11="EV",'BACKGROUND Calcs'!E4,0))</f>
        <v>0</v>
      </c>
      <c r="F31" s="36">
        <f>IF('Scene 4'!$D$9="SH",'Scene 4'!$D$10,IF('Scene 4'!$D$9="CD",'Scene 4'!$D$10,0))*IF('Scene 4'!$D$11="ICE",'BACKGROUND Calcs'!F3,IF('Scene 4'!$D$11="EV",'BACKGROUND Calcs'!F4,0))</f>
        <v>0</v>
      </c>
      <c r="G31" s="36">
        <f>IF('Scene 5'!$D$9="SH",'Scene 5'!$D$10,IF('Scene 5'!$D$9="CD",'Scene 5'!$D$10,0))*IF('Scene 5'!$D$11="ICE",'BACKGROUND Calcs'!G3,IF('Scene 5'!$D$11="EV",'BACKGROUND Calcs'!G4,0))</f>
        <v>0</v>
      </c>
      <c r="H31" s="36">
        <f>IF('Scene 6'!$D$9="SH",'Scene 6'!$D$10,IF('Scene 6'!$D$9="CD",'Scene 6'!$D$10,0))*IF('Scene 6'!$D$11="ICE",'BACKGROUND Calcs'!H3,IF('Scene 6'!$D$11="EV",'BACKGROUND Calcs'!H4,0))</f>
        <v>0</v>
      </c>
      <c r="I31" s="36">
        <f>IF('Scene 7'!$D$9="SH",'Scene 7'!$D$10,IF('Scene 7'!$D$9="CD",'Scene 7'!$D$10,0))*IF('Scene 7'!$D$11="ICE",'BACKGROUND Calcs'!I3,IF('Scene 7'!$D$11="EV",'BACKGROUND Calcs'!I4,0))</f>
        <v>0</v>
      </c>
    </row>
    <row r="32" spans="1:9" ht="15.55" thickTop="1" thickBot="1" x14ac:dyDescent="0.35">
      <c r="A32" s="9" t="s">
        <v>73</v>
      </c>
      <c r="B32" s="9" t="s">
        <v>74</v>
      </c>
      <c r="C32" s="4">
        <f>IF('Scene 1'!$D$13=1,10/9,1)</f>
        <v>1</v>
      </c>
      <c r="D32" s="4">
        <f>IF('Scene 2'!$D$13=1,10/9,1)</f>
        <v>1</v>
      </c>
      <c r="E32" s="4">
        <f>IF('Scene 3'!$D$13=1,10/9,1)</f>
        <v>1</v>
      </c>
      <c r="F32" s="4">
        <f>IF('Scene 4'!$D$13=1,10/9,1)</f>
        <v>1</v>
      </c>
      <c r="G32" s="4">
        <f>IF('Scene 5'!$D$173=1,10/9,1)</f>
        <v>1</v>
      </c>
      <c r="H32" s="4">
        <f>IF('Scene 6'!$D$13="1",10/9,1)</f>
        <v>1</v>
      </c>
      <c r="I32" s="4">
        <f>IF('Scene 7'!$D$13=1,10/9,1)</f>
        <v>1</v>
      </c>
    </row>
    <row r="33" spans="1:9" ht="15.55" thickTop="1" thickBot="1" x14ac:dyDescent="0.35">
      <c r="A33" s="9" t="s">
        <v>60</v>
      </c>
      <c r="B33" s="9" t="s">
        <v>62</v>
      </c>
      <c r="C33" s="4">
        <f>C31*C27*C28*IF('Scene 1'!D11="EV",'BACKGROUND Calcs'!C29,1)*C30*C32</f>
        <v>0</v>
      </c>
      <c r="D33" s="36">
        <f>D31*D27*D28*IF('Scene 2'!D11="EV",'BACKGROUND Calcs'!D29,1)*D30*D32</f>
        <v>0</v>
      </c>
      <c r="E33" s="36">
        <f>E31*E27*E28*IF('Scene 3'!D11="EV",'BACKGROUND Calcs'!E29,1)*E30*E32</f>
        <v>0</v>
      </c>
      <c r="F33" s="36">
        <f>F31*F27*F28*IF('Scene 4'!D11="EV",'BACKGROUND Calcs'!F29,1)*F30*F32</f>
        <v>0</v>
      </c>
      <c r="G33" s="36">
        <f>G31*G27*G28*IF('Scene 5'!D11="EV",'BACKGROUND Calcs'!G29,1)*G30*G32</f>
        <v>0</v>
      </c>
      <c r="H33" s="36">
        <f>H31*H27*H28*IF('Scene 6'!D11="EV",'BACKGROUND Calcs'!H29,1)*H30*H32</f>
        <v>0</v>
      </c>
      <c r="I33" s="36">
        <f>I31*I27*I28*IF('Scene 7'!D11="EV",'BACKGROUND Calcs'!I29,1)*I30*I32</f>
        <v>0</v>
      </c>
    </row>
    <row r="34" spans="1:9" ht="15.55" thickTop="1" thickBot="1" x14ac:dyDescent="0.35">
      <c r="A34" s="9" t="s">
        <v>92</v>
      </c>
      <c r="B34" s="9" t="s">
        <v>95</v>
      </c>
      <c r="C34" s="4">
        <f>IF('Scene 1'!$D$9="Global",'Scene 1'!$D$10,0)+'Scene 1'!$D$16</f>
        <v>0</v>
      </c>
      <c r="D34" s="4">
        <f>(IF('Scene 2'!$D$9="Global",'Scene 2'!$D$10,0)+'Scene 2'!$D$16+C35)</f>
        <v>0</v>
      </c>
      <c r="E34" s="4">
        <f>(IF('Scene 3'!$D$9="Global",'Scene 3'!$D$10,0)+'Scene 3'!$D$16+D35)</f>
        <v>0</v>
      </c>
      <c r="F34" s="4">
        <f>(IF('Scene 4'!$D$9="Global",'Scene 4'!$D$10,0)+'Scene 4'!$D$16+E34)</f>
        <v>0</v>
      </c>
      <c r="G34" s="4">
        <f>(IF('Scene 5'!$D$9="Global",'Scene 5'!$D$10,0)+'Scene 5'!$D$16+F34)</f>
        <v>0</v>
      </c>
      <c r="H34" s="4">
        <f>(IF('Scene 6'!$D$9="Global",'Scene 6'!$D$10,0)+'Scene 6'!$D$16+G34)</f>
        <v>0</v>
      </c>
      <c r="I34" s="4">
        <f>(IF('Scene 7'!$D$9="Global",'Scene 7'!$D$10,0)+'Scene 7'!$D$16+H34)</f>
        <v>0</v>
      </c>
    </row>
    <row r="35" spans="1:9" ht="15.55" thickTop="1" thickBot="1" x14ac:dyDescent="0.35">
      <c r="A35" s="9" t="s">
        <v>52</v>
      </c>
      <c r="B35" s="9" t="s">
        <v>51</v>
      </c>
      <c r="C35" s="4">
        <f>C34/2</f>
        <v>0</v>
      </c>
      <c r="D35" s="4">
        <f>D34/2</f>
        <v>0</v>
      </c>
      <c r="E35" s="4">
        <f t="shared" ref="E35:I35" si="6">E34/2</f>
        <v>0</v>
      </c>
      <c r="F35" s="4">
        <f t="shared" si="6"/>
        <v>0</v>
      </c>
      <c r="G35" s="4">
        <f t="shared" si="6"/>
        <v>0</v>
      </c>
      <c r="H35" s="4">
        <f t="shared" si="6"/>
        <v>0</v>
      </c>
      <c r="I35" s="4">
        <f t="shared" si="6"/>
        <v>0</v>
      </c>
    </row>
    <row r="36" spans="1:9" ht="15.55" thickTop="1" thickBot="1" x14ac:dyDescent="0.35">
      <c r="A36" s="9" t="s">
        <v>41</v>
      </c>
      <c r="B36" s="9" t="s">
        <v>50</v>
      </c>
      <c r="C36" s="29">
        <f t="shared" ref="C36:I36" si="7">(11+C35)/C9</f>
        <v>0.10280373831775701</v>
      </c>
      <c r="D36" s="29">
        <f t="shared" si="7"/>
        <v>9.9547511312217188E-2</v>
      </c>
      <c r="E36" s="29">
        <f t="shared" si="7"/>
        <v>9.6491228070175433E-2</v>
      </c>
      <c r="F36" s="29">
        <f t="shared" si="7"/>
        <v>9.3617021276595741E-2</v>
      </c>
      <c r="G36" s="29">
        <f t="shared" si="7"/>
        <v>9.0909090909090912E-2</v>
      </c>
      <c r="H36" s="29">
        <f t="shared" si="7"/>
        <v>8.8353413654618476E-2</v>
      </c>
      <c r="I36" s="29">
        <f t="shared" si="7"/>
        <v>8.59375E-2</v>
      </c>
    </row>
    <row r="37" spans="1:9" ht="15.55" thickTop="1" thickBot="1" x14ac:dyDescent="0.35">
      <c r="A37" s="9" t="s">
        <v>49</v>
      </c>
      <c r="B37" s="9" t="s">
        <v>40</v>
      </c>
      <c r="C37" s="29">
        <f t="shared" ref="C37:I37" si="8">(4+C35)/C10</f>
        <v>3.8461538461538464E-2</v>
      </c>
      <c r="D37" s="29">
        <f t="shared" si="8"/>
        <v>3.7914691943127965E-2</v>
      </c>
      <c r="E37" s="29">
        <f t="shared" si="8"/>
        <v>3.7383177570093455E-2</v>
      </c>
      <c r="F37" s="29">
        <f t="shared" si="8"/>
        <v>3.6866359447004608E-2</v>
      </c>
      <c r="G37" s="29">
        <f t="shared" si="8"/>
        <v>3.6363636363636362E-2</v>
      </c>
      <c r="H37" s="29">
        <f t="shared" si="8"/>
        <v>3.5874439461883408E-2</v>
      </c>
      <c r="I37" s="29">
        <f t="shared" si="8"/>
        <v>3.5398230088495575E-2</v>
      </c>
    </row>
    <row r="38" spans="1:9" ht="15.55" thickTop="1" thickBot="1" x14ac:dyDescent="0.35">
      <c r="A38" s="9" t="s">
        <v>152</v>
      </c>
      <c r="B38" s="9" t="s">
        <v>153</v>
      </c>
      <c r="C38" s="74">
        <f>MAX(0,MIN(25,'Scene 1'!$D$4+SUM('Scene 1'!$D$20:$D$21)))</f>
        <v>14</v>
      </c>
      <c r="D38" s="74">
        <f>MAX(0,MIN(25,'Scene 2'!$D$4+SUM('Scene 2'!$D$20:$D$21)))</f>
        <v>13</v>
      </c>
      <c r="E38" s="74">
        <f>MAX(0,MIN(25,'Scene 3'!$D$4+SUM('Scene 3'!$D$20:$D$21)))</f>
        <v>12</v>
      </c>
      <c r="F38" s="74">
        <f>MAX(0,MIN(25,'Scene 4'!$D$4+SUM('Scene 4'!$D$20:$D$21)))</f>
        <v>11</v>
      </c>
      <c r="G38" s="74">
        <f>MAX(0,MIN(25,'Scene 5'!$D$4+SUM('Scene 5'!$D$20:$D$21)))</f>
        <v>10</v>
      </c>
      <c r="H38" s="74">
        <f>MAX(0,MIN(25,'Scene 6'!$D$4+SUM('Scene 6'!$D$20:$D$21)))</f>
        <v>9</v>
      </c>
      <c r="I38" s="74">
        <f>MAX(0,MIN(25,'Scene 7'!$D$4+SUM('Scene 7'!$D$20:$D$21)))</f>
        <v>8</v>
      </c>
    </row>
    <row r="39" spans="1:9" ht="15.55" thickTop="1" thickBot="1" x14ac:dyDescent="0.35">
      <c r="A39" s="4"/>
      <c r="B39" s="4"/>
      <c r="C39" s="4"/>
      <c r="D39" s="4"/>
      <c r="E39" s="4"/>
      <c r="F39" s="4"/>
      <c r="G39" s="4"/>
      <c r="H39" s="4"/>
      <c r="I39" s="4"/>
    </row>
    <row r="40" spans="1:9" ht="15.55" thickTop="1" thickBot="1" x14ac:dyDescent="0.35">
      <c r="A40" s="161" t="s">
        <v>48</v>
      </c>
      <c r="B40" s="162"/>
      <c r="C40" s="162"/>
      <c r="D40" s="162"/>
      <c r="E40" s="162"/>
      <c r="F40" s="162"/>
      <c r="G40" s="162"/>
      <c r="H40" s="162"/>
      <c r="I40" s="163"/>
    </row>
    <row r="41" spans="1:9" ht="15.55" thickTop="1" thickBot="1" x14ac:dyDescent="0.35">
      <c r="A41" s="9" t="s">
        <v>11</v>
      </c>
      <c r="B41" s="9" t="s">
        <v>57</v>
      </c>
      <c r="C41" s="4">
        <f>IF('Scene 1'!$G$18=0,0.3,SQRT(('Scene 1'!$G$18)/4))</f>
        <v>0.3</v>
      </c>
      <c r="D41" s="4">
        <f>IF('Scene 2'!$G$18=0,0.3,SQRT(('Scene 2'!$G$18)/4))</f>
        <v>0.3</v>
      </c>
      <c r="E41" s="4">
        <f>IF('Scene 3'!$G$18=0,0.3,SQRT(('Scene 3'!$G$18)/4))</f>
        <v>0.3</v>
      </c>
      <c r="F41" s="4">
        <f>IF('Scene 4'!$G$18=0,0.3,SQRT(('Scene 4'!$G$18)/4))</f>
        <v>0.3</v>
      </c>
      <c r="G41" s="4">
        <f>IF('Scene 5'!$G$18=0,0.3,SQRT(('Scene 5'!$G$18)/4))</f>
        <v>0.3</v>
      </c>
      <c r="H41" s="4">
        <f>IF('Scene 6'!$G$18=0,0.3,SQRT(('Scene 6'!$G$18)/4))</f>
        <v>0.3</v>
      </c>
      <c r="I41" s="4">
        <f>IF('Scene 7'!$G$18=0,0.3,SQRT(('Scene 7'!$G$18)/4))</f>
        <v>0.3</v>
      </c>
    </row>
    <row r="42" spans="1:9" ht="15.55" thickTop="1" thickBot="1" x14ac:dyDescent="0.35">
      <c r="A42" s="9" t="s">
        <v>66</v>
      </c>
      <c r="B42" s="9" t="s">
        <v>55</v>
      </c>
      <c r="C42" s="4">
        <f>1.1^IF('Scene 1'!$G$15=0,0,'Scene 1'!$G$15)</f>
        <v>1</v>
      </c>
      <c r="D42" s="4">
        <f>1.1^IF('Scene 1'!$G$15+'Scene 2'!$G$15=0,0,'Scene 1'!$G$15+'Scene 2'!$G$15)</f>
        <v>1</v>
      </c>
      <c r="E42" s="4">
        <f>1.1^IF('Scene 1'!$G$15+'Scene 2'!$G$15+'Scene 3'!$G$15=0,0,'Scene 1'!$G$15+'Scene 2'!$G$15+'Scene 3'!$G$15)</f>
        <v>1</v>
      </c>
      <c r="F42" s="4">
        <f>1.1^IF('Scene 1'!$G$15+'Scene 2'!$G$15+'Scene 3'!$G$15+'Scene 4'!$G$15=0,0,'Scene 1'!$G$15+'Scene 2'!$G$15+'Scene 3'!$G$15+'Scene 4'!$G$15)</f>
        <v>1</v>
      </c>
      <c r="G42" s="4">
        <f>1.1^IF('Scene 1'!$G$15+'Scene 2'!$G$15+'Scene 3'!$G$15+'Scene 4'!$G$15+'Scene 5'!$G$15=0,0,'Scene 1'!$G$15+'Scene 2'!$G$15+'Scene 3'!$G$15+'Scene 4'!$G$15+'Scene 5'!$G$15)</f>
        <v>1</v>
      </c>
      <c r="H42" s="4">
        <f>1.1^IF('Scene 1'!$G$15+'Scene 2'!$G$15+'Scene 3'!$G$15+'Scene 4'!$G$15+'Scene 5'!$G$15+'Scene 6'!$G$15=0,0,'Scene 1'!$G$15+'Scene 2'!$G$15+'Scene 3'!$G$15+'Scene 4'!$G$15+'Scene 5'!$G$15+'Scene 6'!$G$15)</f>
        <v>1</v>
      </c>
      <c r="I42" s="4">
        <f>1.1^IF('Scene 1'!$G$15+'Scene 2'!$G$15+'Scene 3'!$G$15+'Scene 4'!$G$15+'Scene 5'!$G$15+'Scene 6'!$G$15+'Scene 7'!$G$15=0,0,'Scene 1'!$G$15+'Scene 2'!$G$15+'Scene 3'!$G$15+'Scene 4'!$G$15+'Scene 5'!$G$15+'Scene 6'!$G$15+'Scene 7'!$G$15)</f>
        <v>1</v>
      </c>
    </row>
    <row r="43" spans="1:9" ht="18.3" customHeight="1" thickTop="1" thickBot="1" x14ac:dyDescent="0.35">
      <c r="A43" s="9" t="s">
        <v>150</v>
      </c>
      <c r="B43" s="9" t="s">
        <v>67</v>
      </c>
      <c r="C43" s="4">
        <f>IF('Scene 1'!$G$16=1,0.95,IF('Scene 1'!$G$16&gt;=2,1,0.9))</f>
        <v>0.9</v>
      </c>
      <c r="D43" s="4">
        <f>IF('Scene 2'!$G$16=1,0.95,IF('Scene 2'!$G$16&gt;=2,1,0.9))</f>
        <v>0.9</v>
      </c>
      <c r="E43" s="4">
        <f>IF('Scene 3'!$G$16=1,0.95,IF('Scene 3'!$G$16&gt;=2,1,0.9))</f>
        <v>0.9</v>
      </c>
      <c r="F43" s="4">
        <f>IF('Scene 4'!$G$16=1,0.95,IF('Scene 4'!$G$16&gt;=2,1,0.9))</f>
        <v>0.9</v>
      </c>
      <c r="G43" s="4">
        <f>IF('Scene 5'!$G$16=1,0.95,IF('Scene 5'!$G$16&gt;=2,1,0.9))</f>
        <v>0.9</v>
      </c>
      <c r="H43" s="4">
        <f>IF('Scene 6'!$G$16=1,0.95,IF('Scene 6'!$G$16&gt;=2,1,0.9))</f>
        <v>0.9</v>
      </c>
      <c r="I43" s="4">
        <f>IF('Scene 7'!$G$16=1,0.95,IF('Scene 7'!$G$16&gt;=2,1,0.9))</f>
        <v>0.9</v>
      </c>
    </row>
    <row r="44" spans="1:9" ht="18.3" customHeight="1" thickTop="1" thickBot="1" x14ac:dyDescent="0.35">
      <c r="A44" s="9" t="s">
        <v>12</v>
      </c>
      <c r="B44" s="9" t="s">
        <v>13</v>
      </c>
      <c r="C44">
        <f>VLOOKUP($C$51,' CCGR Reveal'!$B$2:$C$26,2,FALSE)</f>
        <v>0.96</v>
      </c>
      <c r="D44">
        <f>VLOOKUP($D$51,' CCGR Reveal'!$B$2:$C$26,2,FALSE)</f>
        <v>0.96</v>
      </c>
      <c r="E44">
        <f>VLOOKUP($E$51,' CCGR Reveal'!$B$2:$C$26,2,FALSE)</f>
        <v>0.96</v>
      </c>
      <c r="F44">
        <f>VLOOKUP($F$51,' CCGR Reveal'!$B$2:$C$26,2,FALSE)</f>
        <v>0.96</v>
      </c>
      <c r="G44">
        <f>VLOOKUP($G$51,' CCGR Reveal'!$B$2:$C$26,2,FALSE)</f>
        <v>0.96</v>
      </c>
      <c r="H44">
        <f>VLOOKUP($H$51,' CCGR Reveal'!$B$2:$C$26,2,FALSE)</f>
        <v>0.96</v>
      </c>
      <c r="I44">
        <f>VLOOKUP($I$51,' CCGR Reveal'!$B$2:$C$26,2,FALSE)</f>
        <v>0.96</v>
      </c>
    </row>
    <row r="45" spans="1:9" ht="15.55" thickTop="1" thickBot="1" x14ac:dyDescent="0.35">
      <c r="A45" s="9" t="s">
        <v>61</v>
      </c>
      <c r="B45" s="9" t="s">
        <v>58</v>
      </c>
      <c r="C45" s="4">
        <f>IF('Scene 1'!$G$9="SH",'Scene 1'!$G$10,IF('Scene 1'!$G$9="CD",'Scene 1'!$G$10,0))*IF('Scene 1'!$G$11="ICE",'BACKGROUND Calcs'!C3,IF('Scene 1'!$G$11="EV",'BACKGROUND Calcs'!C4,0))</f>
        <v>0</v>
      </c>
      <c r="D45" s="36">
        <f>IF('Scene 2'!$G$9="SH",'Scene 2'!$G$10,IF('Scene 2'!$G$9="CD",'Scene 2'!$G$10,0))*IF('Scene 2'!$G$11="ICE",'BACKGROUND Calcs'!G3,IF('Scene 2'!$G$11="EV",'BACKGROUND Calcs'!D4,0))</f>
        <v>0</v>
      </c>
      <c r="E45" s="36">
        <f>IF('Scene 3'!$G$9="SH",'Scene 3'!$G$10,IF('Scene 3'!$G$9="CD",'Scene 3'!$G$10,0))*IF('Scene 3'!$G$11="ICE",'BACKGROUND Calcs'!E3,IF('Scene 3'!$G$11="EV",'BACKGROUND Calcs'!E4,0))</f>
        <v>0</v>
      </c>
      <c r="F45" s="36">
        <f>IF('Scene 4'!$G$9="SH",'Scene 4'!$G$10,IF('Scene 4'!$G$9="CD",'Scene 4'!$G$10,0))*IF('Scene 4'!$G$11="ICE",'BACKGROUND Calcs'!F3,IF('Scene 4'!$G$11="EV",'BACKGROUND Calcs'!F4,0))</f>
        <v>0</v>
      </c>
      <c r="G45" s="36">
        <f>IF('Scene 5'!$G$9="SH",'Scene 5'!$G$10,IF('Scene 5'!$G$9="CD",'Scene 5'!$G$10,0))*IF('Scene 5'!$G$11="ICE",'BACKGROUND Calcs'!G3,IF('Scene 5'!$G$11="EV",'BACKGROUND Calcs'!G4,0))</f>
        <v>0</v>
      </c>
      <c r="H45" s="36">
        <f>IF('Scene 6'!$G$9="SH",'Scene 6'!$G$10,IF('Scene 6'!$G$9="CD",'Scene 6'!$G$10,0))*IF('Scene 6'!$G$11="ICE",'BACKGROUND Calcs'!H3,IF('Scene 6'!$G$11="EV",'BACKGROUND Calcs'!H4,0))</f>
        <v>0</v>
      </c>
      <c r="I45" s="36">
        <f>IF('Scene 7'!$G$9="SH",'Scene 7'!$G$10,IF('Scene 7'!$G$9="CD",'Scene 7'!$G$10,0))*IF('Scene 7'!$G$11="ICE",'BACKGROUND Calcs'!I3,IF('Scene 7'!$G$11="EV",'BACKGROUND Calcs'!I4,0))</f>
        <v>0</v>
      </c>
    </row>
    <row r="46" spans="1:9" ht="15.55" thickTop="1" thickBot="1" x14ac:dyDescent="0.35">
      <c r="A46" s="9" t="s">
        <v>73</v>
      </c>
      <c r="B46" s="9" t="s">
        <v>74</v>
      </c>
      <c r="C46" s="4">
        <f>IF('Scene 1'!$G$13=1,10/9,1)</f>
        <v>1</v>
      </c>
      <c r="D46" s="4">
        <f>IF('Scene 2'!$G$13=1,10/9,1)</f>
        <v>1</v>
      </c>
      <c r="E46" s="4">
        <f>IF('Scene 3'!$G$13=1,10/9,1)</f>
        <v>1</v>
      </c>
      <c r="F46" s="4">
        <f>IF('Scene 4'!$G$13=1,10/9,1)</f>
        <v>1</v>
      </c>
      <c r="G46" s="4">
        <f>IF('Scene 5'!$G$13=1,10/9,1)</f>
        <v>1</v>
      </c>
      <c r="H46" s="4">
        <f>IF('Scene 6'!$G$13=1,10/9,1)</f>
        <v>1</v>
      </c>
      <c r="I46" s="4">
        <f>IF('Scene 7'!$G$13=1,10/9,1)</f>
        <v>1</v>
      </c>
    </row>
    <row r="47" spans="1:9" ht="18.3" customHeight="1" thickTop="1" thickBot="1" x14ac:dyDescent="0.35">
      <c r="A47" s="9" t="s">
        <v>60</v>
      </c>
      <c r="B47" s="9" t="s">
        <v>62</v>
      </c>
      <c r="C47" s="4">
        <f>C45*C41*C42*IF('Scene 1'!G11="ICE",'BACKGROUND Calcs'!C43,1)*C44*C46</f>
        <v>0</v>
      </c>
      <c r="D47" s="36">
        <f>D45*D41*D42*IF('Scene 2'!G11="ICE",'BACKGROUND Calcs'!D43,1)*D44*D46</f>
        <v>0</v>
      </c>
      <c r="E47" s="36">
        <f>E45*E41*E42*IF('Scene 3'!G11="ICE",'BACKGROUND Calcs'!E43,1)*E44*E46</f>
        <v>0</v>
      </c>
      <c r="F47" s="36">
        <f>F45*F41*F42*IF('Scene 4'!G11="ICE",'BACKGROUND Calcs'!F43,1)*F44*F46</f>
        <v>0</v>
      </c>
      <c r="G47" s="36">
        <f>G45*G41*G42*IF('Scene 5'!G11="ICE",'BACKGROUND Calcs'!G43,1)*G44*G46</f>
        <v>0</v>
      </c>
      <c r="H47" s="36">
        <f>H45*H41*H42*IF('Scene 6'!G11="ICE",'BACKGROUND Calcs'!H43,1)*H44*H46</f>
        <v>0</v>
      </c>
      <c r="I47" s="36">
        <f>I45*I41*I42*IF('Scene 7'!G11="ICE",'BACKGROUND Calcs'!I43,1)*I44*I46</f>
        <v>0</v>
      </c>
    </row>
    <row r="48" spans="1:9" ht="15.55" thickTop="1" thickBot="1" x14ac:dyDescent="0.35">
      <c r="A48" s="9" t="s">
        <v>63</v>
      </c>
      <c r="B48" s="9" t="s">
        <v>128</v>
      </c>
      <c r="C48" s="4">
        <f>IF('Scene 1'!$G$9="Global",'Scene 1'!$G$10,0)+'Scene 1'!$G$16</f>
        <v>0</v>
      </c>
      <c r="D48" s="4">
        <f>IF('Scene 2'!$G$9="Global",'Scene 2'!$G$10,0)+'Scene 2'!$G$16+C48</f>
        <v>0</v>
      </c>
      <c r="E48" s="4">
        <f>IF('Scene 3'!$G$9="Global",'Scene 3'!$G$10,0)+'Scene 3'!$G$16+D48</f>
        <v>0</v>
      </c>
      <c r="F48" s="4">
        <f>IF('Scene 4'!$G$9="Global",'Scene 4'!$G$10,0)+'Scene 4'!$G$16+E48</f>
        <v>0</v>
      </c>
      <c r="G48" s="4">
        <f>IF('Scene 5'!$G$9="Global",'Scene 5'!$G$10,0)+'Scene 5'!$G$16+F48</f>
        <v>0</v>
      </c>
      <c r="H48" s="4">
        <f>IF('Scene 6'!$G$9="Global",'Scene 6'!$G$10,0)+'Scene 6'!$G$16+G48</f>
        <v>0</v>
      </c>
      <c r="I48" s="4">
        <f>IF('Scene 7'!$G$9="Global",'Scene 7'!$G$10,0)+'Scene 7'!$G$16+H48</f>
        <v>0</v>
      </c>
    </row>
    <row r="49" spans="1:14" ht="15.55" thickTop="1" thickBot="1" x14ac:dyDescent="0.35">
      <c r="A49" s="9" t="s">
        <v>41</v>
      </c>
      <c r="B49" s="9" t="s">
        <v>129</v>
      </c>
      <c r="C49" s="29">
        <f>($C$48)/C9</f>
        <v>0</v>
      </c>
      <c r="D49" s="29">
        <f>($D$48)/D9</f>
        <v>0</v>
      </c>
      <c r="E49" s="29">
        <f>($E$48)/E9</f>
        <v>0</v>
      </c>
      <c r="F49" s="29">
        <f>($F$48)/F9</f>
        <v>0</v>
      </c>
      <c r="G49" s="29">
        <f>($G$48)/G9</f>
        <v>0</v>
      </c>
      <c r="H49" s="29">
        <f>($H$48)/H9</f>
        <v>0</v>
      </c>
      <c r="I49" s="29">
        <f>($I$48)/I9</f>
        <v>0</v>
      </c>
    </row>
    <row r="50" spans="1:14" ht="15.55" thickTop="1" thickBot="1" x14ac:dyDescent="0.35">
      <c r="A50" s="9" t="s">
        <v>49</v>
      </c>
      <c r="B50" s="9" t="s">
        <v>130</v>
      </c>
      <c r="C50" s="29">
        <f>($C$48)/C10</f>
        <v>0</v>
      </c>
      <c r="D50" s="29">
        <f>($D$48)/D10</f>
        <v>0</v>
      </c>
      <c r="E50" s="29">
        <f>($E$48)/E10</f>
        <v>0</v>
      </c>
      <c r="F50" s="29">
        <f>($F$48)/F10</f>
        <v>0</v>
      </c>
      <c r="G50" s="29">
        <f>($G$48)/G10</f>
        <v>0</v>
      </c>
      <c r="H50" s="29">
        <f>($H$48)/H10</f>
        <v>0</v>
      </c>
      <c r="I50" s="29">
        <f>($I$48)/I10</f>
        <v>0</v>
      </c>
    </row>
    <row r="51" spans="1:14" ht="15.55" thickTop="1" thickBot="1" x14ac:dyDescent="0.35">
      <c r="A51" s="9" t="s">
        <v>152</v>
      </c>
      <c r="B51" s="9" t="s">
        <v>153</v>
      </c>
      <c r="C51" s="74">
        <f>MAX(0,MIN(25,'Scene 1'!$G$4+SUM('Scene 1'!$G$20:$G$21)))</f>
        <v>17</v>
      </c>
      <c r="D51" s="74">
        <f>MAX(0,MIN(25,'Scene 2'!$G$4+SUM('Scene 2'!$G$20:$G$21)))</f>
        <v>17</v>
      </c>
      <c r="E51" s="74">
        <f>MAX(0,MIN(25,'Scene 3'!$G$4+SUM('Scene 3'!$G$20:$G$21)))</f>
        <v>17</v>
      </c>
      <c r="F51" s="74">
        <f>MAX(0,MIN(25,'Scene 4'!$G$4+SUM('Scene 4'!$G$20:$G$21)))</f>
        <v>17</v>
      </c>
      <c r="G51" s="74">
        <f>MAX(0,MIN(25,'Scene 5'!$G$4+SUM('Scene 5'!$G$20:$G$21)))</f>
        <v>17</v>
      </c>
      <c r="H51" s="74">
        <f>MAX(0,MIN(25,'Scene 6'!$G$4+SUM('Scene 6'!$G$20:$G$21)))</f>
        <v>17</v>
      </c>
      <c r="I51" s="74">
        <f>MAX(0,MIN(25,'Scene 7'!$G$4+SUM('Scene 7'!$G$20:$G$21)))</f>
        <v>17</v>
      </c>
    </row>
    <row r="52" spans="1:14" ht="15.55" thickTop="1" thickBot="1" x14ac:dyDescent="0.35"/>
    <row r="53" spans="1:14" ht="15.55" thickTop="1" thickBot="1" x14ac:dyDescent="0.35">
      <c r="A53" s="161" t="s">
        <v>161</v>
      </c>
      <c r="B53" s="162"/>
      <c r="C53" s="162"/>
      <c r="D53" s="162"/>
      <c r="E53" s="162"/>
      <c r="F53" s="162"/>
      <c r="G53" s="162"/>
      <c r="H53" s="162"/>
      <c r="I53" s="163"/>
      <c r="J53" s="37"/>
      <c r="K53" s="37"/>
      <c r="L53" s="37"/>
      <c r="M53" s="37"/>
      <c r="N53" s="37"/>
    </row>
    <row r="54" spans="1:14" ht="15.55" thickTop="1" thickBot="1" x14ac:dyDescent="0.35">
      <c r="A54" s="9" t="s">
        <v>152</v>
      </c>
      <c r="B54" s="9" t="s">
        <v>153</v>
      </c>
      <c r="C54" s="74">
        <f>MAX(0,MIN(25,'Scene 1'!$J$4+SUM('Scene 1'!$J$10:$J$11)))</f>
        <v>19</v>
      </c>
      <c r="D54" s="74">
        <f>MAX(0,MIN(25,'Scene 2'!$J$4+SUM('Scene 1'!$J$10:$J$11)))</f>
        <v>18</v>
      </c>
      <c r="E54" s="74">
        <f>MAX(0,MIN(25,'Scene 3'!$J$4+SUM('Scene 1'!$J$10:$J$11)))</f>
        <v>17</v>
      </c>
      <c r="F54" s="74">
        <f>MAX(0,MIN(25,'Scene 4'!$J$4+SUM('Scene 1'!$J$10:$J$11)))</f>
        <v>16</v>
      </c>
      <c r="G54" s="74">
        <f>MAX(0,MIN(25,'Scene 5'!$J$4+SUM('Scene 1'!$J$10:$J$11)))</f>
        <v>15</v>
      </c>
      <c r="H54" s="74">
        <f>MAX(0,MIN(25,'Scene 6'!$J$4+SUM('Scene 1'!$J$10:$J$11)))</f>
        <v>14</v>
      </c>
      <c r="I54" s="74">
        <f>MAX(0,MIN(25,'Scene 7'!$J$4+SUM('Scene 1'!$J$10:$J$11)))</f>
        <v>13</v>
      </c>
    </row>
    <row r="55" spans="1:14" ht="15.55" thickTop="1" thickBot="1" x14ac:dyDescent="0.35">
      <c r="J55" s="4"/>
      <c r="K55" s="4"/>
      <c r="L55" s="4"/>
      <c r="M55" s="4"/>
      <c r="N55" s="4"/>
    </row>
    <row r="56" spans="1:14" ht="15.55" thickTop="1" thickBot="1" x14ac:dyDescent="0.35">
      <c r="A56" s="161" t="s">
        <v>162</v>
      </c>
      <c r="B56" s="162"/>
      <c r="C56" s="162"/>
      <c r="D56" s="162"/>
      <c r="E56" s="162"/>
      <c r="F56" s="162"/>
      <c r="G56" s="162"/>
      <c r="H56" s="162"/>
      <c r="I56" s="163"/>
    </row>
    <row r="57" spans="1:14" ht="15.55" thickTop="1" thickBot="1" x14ac:dyDescent="0.35">
      <c r="A57" s="9" t="s">
        <v>152</v>
      </c>
      <c r="B57" s="9" t="s">
        <v>153</v>
      </c>
      <c r="C57" s="74">
        <f>MAX(0,MIN(25,'Scene 1'!$K$4+SUM('Scene 1'!$K$10:$K$11)))</f>
        <v>19</v>
      </c>
      <c r="D57" s="74">
        <f>MAX(0,MIN(25,'Scene 2'!$K$4+SUM('Scene 2'!$K$10:$K$11)))</f>
        <v>18</v>
      </c>
      <c r="E57" s="74">
        <f>MAX(0,MIN(25,'Scene 3'!$K$4+SUM('Scene 3'!$K$10:$K$11)))</f>
        <v>17</v>
      </c>
      <c r="F57" s="74">
        <f>MAX(0,MIN(25,'Scene 4'!$K$4+SUM('Scene 4'!$K$10:$K$11)))</f>
        <v>16</v>
      </c>
      <c r="G57" s="74">
        <f>MAX(0,MIN(25,'Scene 5'!$K$4+SUM('Scene 5'!$K$10:$K$11)))</f>
        <v>15</v>
      </c>
      <c r="H57" s="74">
        <f>MAX(0,MIN(25,'Scene 6'!$K$4+SUM('Scene 6'!$K$10:$K$11)))</f>
        <v>14</v>
      </c>
      <c r="I57" s="74">
        <f>MAX(0,MIN(25,'Scene 7'!$K$4+SUM('Scene 7'!$K$10:$K$11)))</f>
        <v>13</v>
      </c>
      <c r="J57" s="38"/>
      <c r="K57" s="38"/>
      <c r="L57" s="38"/>
      <c r="M57" s="38"/>
      <c r="N57" s="38"/>
    </row>
    <row r="58" spans="1:14" ht="15.55" thickTop="1" thickBot="1" x14ac:dyDescent="0.35"/>
    <row r="59" spans="1:14" ht="15.55" thickTop="1" thickBot="1" x14ac:dyDescent="0.35">
      <c r="A59" s="161" t="s">
        <v>30</v>
      </c>
      <c r="B59" s="162"/>
      <c r="C59" s="162"/>
      <c r="D59" s="162"/>
      <c r="E59" s="162"/>
      <c r="F59" s="162"/>
      <c r="G59" s="162"/>
      <c r="H59" s="162"/>
      <c r="I59" s="163"/>
    </row>
    <row r="60" spans="1:14" ht="15.55" thickTop="1" thickBot="1" x14ac:dyDescent="0.35">
      <c r="A60" s="9" t="s">
        <v>152</v>
      </c>
      <c r="B60" s="9" t="s">
        <v>153</v>
      </c>
      <c r="C60" s="74">
        <f>MAX(0,MIN(25,'Scene 1'!$N$4+'Scene 1'!$N$11))</f>
        <v>19</v>
      </c>
      <c r="D60" s="74">
        <f>MAX(0,MIN(25,'Scene 2'!$N$4+'Scene 2'!$N$11))</f>
        <v>18</v>
      </c>
      <c r="E60" s="74">
        <f>MAX(0,MIN(25,'Scene 3'!$N$4+'Scene 3'!$N$11))</f>
        <v>17</v>
      </c>
      <c r="F60" s="74">
        <f>MAX(0,MIN(25,'Scene 4'!$N$4+'Scene 4'!$N$11))</f>
        <v>16</v>
      </c>
      <c r="G60" s="74">
        <f>MAX(0,MIN(25,'Scene 5'!$N$4+'Scene 5'!$N$11))</f>
        <v>15</v>
      </c>
      <c r="H60" s="74">
        <f>MAX(0,MIN(25,'Scene 6'!$N$4+'Scene 6'!$N$11))</f>
        <v>14</v>
      </c>
      <c r="I60" s="74">
        <f>MAX(0,MIN(25,'Scene 7'!$N$4+'Scene 7'!$N$11))</f>
        <v>13</v>
      </c>
    </row>
    <row r="61" spans="1:14" ht="14.95" thickTop="1" x14ac:dyDescent="0.3"/>
  </sheetData>
  <mergeCells count="7">
    <mergeCell ref="A56:I56"/>
    <mergeCell ref="A59:I59"/>
    <mergeCell ref="A40:I40"/>
    <mergeCell ref="A2:I2"/>
    <mergeCell ref="A12:I12"/>
    <mergeCell ref="A26:I26"/>
    <mergeCell ref="A53:I53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C772-9F38-4BE8-BE3B-21CA048B0CAD}">
  <dimension ref="A1:V26"/>
  <sheetViews>
    <sheetView tabSelected="1" zoomScale="70" zoomScaleNormal="70" workbookViewId="0">
      <selection activeCell="K14" sqref="K14"/>
    </sheetView>
  </sheetViews>
  <sheetFormatPr defaultRowHeight="14.4" x14ac:dyDescent="0.3"/>
  <cols>
    <col min="1" max="1" width="23.3984375" customWidth="1"/>
    <col min="2" max="2" width="20.8984375" customWidth="1"/>
    <col min="3" max="3" width="26.59765625" customWidth="1"/>
    <col min="4" max="4" width="3.3984375" customWidth="1"/>
    <col min="5" max="5" width="11" bestFit="1" customWidth="1"/>
    <col min="6" max="6" width="12.796875" customWidth="1"/>
    <col min="7" max="10" width="13.09765625" customWidth="1"/>
    <col min="11" max="11" width="13.3984375" customWidth="1"/>
    <col min="12" max="12" width="3.69921875" customWidth="1"/>
  </cols>
  <sheetData>
    <row r="1" spans="1:22" ht="46" customHeight="1" thickTop="1" thickBot="1" x14ac:dyDescent="0.35">
      <c r="A1" s="13" t="s">
        <v>72</v>
      </c>
      <c r="B1" s="13" t="s">
        <v>160</v>
      </c>
      <c r="C1" s="13" t="s">
        <v>28</v>
      </c>
      <c r="E1" s="88" t="s">
        <v>158</v>
      </c>
      <c r="F1" s="89"/>
      <c r="G1" s="89"/>
      <c r="H1" s="89"/>
      <c r="I1" s="89"/>
      <c r="J1" s="89"/>
      <c r="K1" s="90"/>
      <c r="M1" s="100" t="s">
        <v>159</v>
      </c>
      <c r="N1" s="101"/>
      <c r="O1" s="101"/>
      <c r="P1" s="101"/>
      <c r="Q1" s="101"/>
      <c r="R1" s="101"/>
      <c r="S1" s="101"/>
      <c r="T1" s="101"/>
      <c r="U1" s="101"/>
      <c r="V1" s="101"/>
    </row>
    <row r="2" spans="1:22" ht="29.95" thickTop="1" thickBot="1" x14ac:dyDescent="0.45">
      <c r="A2" s="87" t="s">
        <v>27</v>
      </c>
      <c r="B2" s="12">
        <v>1</v>
      </c>
      <c r="C2" s="12">
        <v>0.35</v>
      </c>
      <c r="E2" s="11"/>
      <c r="F2" s="40" t="s">
        <v>46</v>
      </c>
      <c r="G2" s="40" t="s">
        <v>68</v>
      </c>
      <c r="H2" s="40" t="s">
        <v>69</v>
      </c>
      <c r="I2" s="40" t="s">
        <v>70</v>
      </c>
      <c r="J2" s="40" t="s">
        <v>71</v>
      </c>
      <c r="K2" s="40" t="s">
        <v>30</v>
      </c>
      <c r="M2" s="91" t="s">
        <v>163</v>
      </c>
      <c r="N2" s="92"/>
      <c r="O2" s="92"/>
      <c r="P2" s="92"/>
      <c r="Q2" s="92"/>
      <c r="R2" s="92"/>
      <c r="S2" s="92"/>
      <c r="T2" s="92"/>
      <c r="U2" s="92"/>
      <c r="V2" s="93"/>
    </row>
    <row r="3" spans="1:22" ht="24.95" thickTop="1" thickBot="1" x14ac:dyDescent="0.45">
      <c r="A3" s="87"/>
      <c r="B3" s="12">
        <v>2</v>
      </c>
      <c r="C3" s="12">
        <v>0.4</v>
      </c>
      <c r="E3" s="1" t="s">
        <v>16</v>
      </c>
      <c r="F3" s="86">
        <f>B16</f>
        <v>15</v>
      </c>
      <c r="G3" s="86">
        <f>B16</f>
        <v>15</v>
      </c>
      <c r="H3" s="86">
        <f>B18</f>
        <v>17</v>
      </c>
      <c r="I3" s="86">
        <f>B21</f>
        <v>20</v>
      </c>
      <c r="J3" s="86">
        <f>B21</f>
        <v>20</v>
      </c>
      <c r="K3" s="86">
        <f>B21</f>
        <v>20</v>
      </c>
      <c r="M3" s="94" t="s">
        <v>64</v>
      </c>
      <c r="N3" s="95"/>
      <c r="O3" s="95"/>
      <c r="P3" s="95"/>
      <c r="Q3" s="95"/>
      <c r="R3" s="95"/>
      <c r="S3" s="95"/>
      <c r="T3" s="95"/>
      <c r="U3" s="95"/>
      <c r="V3" s="96"/>
    </row>
    <row r="4" spans="1:22" ht="24.95" thickTop="1" thickBot="1" x14ac:dyDescent="0.45">
      <c r="A4" s="87"/>
      <c r="B4" s="12">
        <v>3</v>
      </c>
      <c r="C4" s="12">
        <v>0.45</v>
      </c>
      <c r="E4" s="1" t="s">
        <v>17</v>
      </c>
      <c r="F4" s="86">
        <f>'BACKGROUND Calcs'!C24</f>
        <v>14</v>
      </c>
      <c r="G4" s="86">
        <f>'BACKGROUND Calcs'!C38</f>
        <v>14</v>
      </c>
      <c r="H4" s="86">
        <f>'BACKGROUND Calcs'!C51</f>
        <v>17</v>
      </c>
      <c r="I4" s="86">
        <f>'BACKGROUND Calcs'!C$54</f>
        <v>19</v>
      </c>
      <c r="J4" s="86">
        <f>'BACKGROUND Calcs'!C$57</f>
        <v>19</v>
      </c>
      <c r="K4" s="86">
        <f>'BACKGROUND Calcs'!D$60</f>
        <v>18</v>
      </c>
      <c r="M4" s="102" t="s">
        <v>157</v>
      </c>
      <c r="N4" s="103"/>
      <c r="O4" s="103"/>
      <c r="P4" s="103"/>
      <c r="Q4" s="103"/>
      <c r="R4" s="103"/>
      <c r="S4" s="103"/>
      <c r="T4" s="103"/>
      <c r="U4" s="103"/>
      <c r="V4" s="104"/>
    </row>
    <row r="5" spans="1:22" ht="24.95" thickTop="1" thickBot="1" x14ac:dyDescent="0.45">
      <c r="A5" s="87"/>
      <c r="B5" s="12">
        <v>4</v>
      </c>
      <c r="C5" s="12">
        <v>0.5</v>
      </c>
      <c r="E5" s="1" t="s">
        <v>18</v>
      </c>
      <c r="F5" s="86">
        <f>'BACKGROUND Calcs'!D24</f>
        <v>13</v>
      </c>
      <c r="G5" s="86">
        <f>'BACKGROUND Calcs'!D38</f>
        <v>13</v>
      </c>
      <c r="H5" s="86">
        <f>'BACKGROUND Calcs'!D51</f>
        <v>17</v>
      </c>
      <c r="I5" s="86">
        <f>'BACKGROUND Calcs'!$D$54</f>
        <v>18</v>
      </c>
      <c r="J5" s="86">
        <f>'BACKGROUND Calcs'!$D$57</f>
        <v>18</v>
      </c>
      <c r="K5" s="86">
        <f>'BACKGROUND Calcs'!$D$60</f>
        <v>18</v>
      </c>
      <c r="M5" s="97" t="s">
        <v>34</v>
      </c>
      <c r="N5" s="98"/>
      <c r="O5" s="98"/>
      <c r="P5" s="98"/>
      <c r="Q5" s="98"/>
      <c r="R5" s="98"/>
      <c r="S5" s="98"/>
      <c r="T5" s="98"/>
      <c r="U5" s="98"/>
      <c r="V5" s="99"/>
    </row>
    <row r="6" spans="1:22" ht="19.399999999999999" thickTop="1" thickBot="1" x14ac:dyDescent="0.45">
      <c r="A6" s="87"/>
      <c r="B6" s="12">
        <v>5</v>
      </c>
      <c r="C6" s="12">
        <v>0.55000000000000004</v>
      </c>
      <c r="E6" s="1" t="s">
        <v>19</v>
      </c>
      <c r="F6" s="86">
        <f>'BACKGROUND Calcs'!E24</f>
        <v>12</v>
      </c>
      <c r="G6" s="86">
        <f>'BACKGROUND Calcs'!E38</f>
        <v>12</v>
      </c>
      <c r="H6" s="86">
        <f>'BACKGROUND Calcs'!E51</f>
        <v>17</v>
      </c>
      <c r="I6" s="86">
        <f>'BACKGROUND Calcs'!$E$54</f>
        <v>17</v>
      </c>
      <c r="J6" s="86">
        <f>'BACKGROUND Calcs'!$E$57</f>
        <v>17</v>
      </c>
      <c r="K6" s="86">
        <f>'BACKGROUND Calcs'!$E$60</f>
        <v>17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2" ht="24.95" thickTop="1" thickBot="1" x14ac:dyDescent="0.45">
      <c r="A7" s="87"/>
      <c r="B7" s="12">
        <v>6</v>
      </c>
      <c r="C7" s="12">
        <v>0.6</v>
      </c>
      <c r="E7" s="1" t="s">
        <v>20</v>
      </c>
      <c r="F7" s="86">
        <f>'BACKGROUND Calcs'!F24</f>
        <v>11</v>
      </c>
      <c r="G7" s="86">
        <f>'BACKGROUND Calcs'!F38</f>
        <v>11</v>
      </c>
      <c r="H7" s="86">
        <f>'BACKGROUND Calcs'!F51</f>
        <v>17</v>
      </c>
      <c r="I7" s="86">
        <f>'BACKGROUND Calcs'!$F$54</f>
        <v>16</v>
      </c>
      <c r="J7" s="86">
        <f>'BACKGROUND Calcs'!$F$57</f>
        <v>16</v>
      </c>
      <c r="K7" s="86">
        <f>'BACKGROUND Calcs'!$F$60</f>
        <v>16</v>
      </c>
      <c r="M7" s="167" t="s">
        <v>106</v>
      </c>
      <c r="N7" s="167"/>
      <c r="O7" s="167"/>
      <c r="P7" s="167"/>
      <c r="Q7" s="167"/>
      <c r="R7" s="167"/>
      <c r="S7" s="167"/>
      <c r="T7" s="167"/>
      <c r="U7" s="167"/>
      <c r="V7" s="167"/>
    </row>
    <row r="8" spans="1:22" ht="24.95" thickTop="1" thickBot="1" x14ac:dyDescent="0.45">
      <c r="A8" s="87"/>
      <c r="B8" s="12">
        <v>7</v>
      </c>
      <c r="C8" s="12">
        <v>0.65</v>
      </c>
      <c r="E8" s="1" t="s">
        <v>21</v>
      </c>
      <c r="F8" s="86">
        <f>'BACKGROUND Calcs'!G24</f>
        <v>10</v>
      </c>
      <c r="G8" s="86">
        <f>'BACKGROUND Calcs'!G38</f>
        <v>10</v>
      </c>
      <c r="H8" s="86">
        <f>'BACKGROUND Calcs'!G51</f>
        <v>17</v>
      </c>
      <c r="I8" s="86">
        <f>'BACKGROUND Calcs'!$G$54</f>
        <v>15</v>
      </c>
      <c r="J8" s="86">
        <f>'BACKGROUND Calcs'!$G$57</f>
        <v>15</v>
      </c>
      <c r="K8" s="86">
        <f>'BACKGROUND Calcs'!$G$60</f>
        <v>15</v>
      </c>
      <c r="M8" s="98" t="s">
        <v>107</v>
      </c>
      <c r="N8" s="98"/>
      <c r="O8" s="98"/>
      <c r="P8" s="98"/>
      <c r="Q8" s="98"/>
      <c r="R8" s="98"/>
      <c r="S8" s="98"/>
      <c r="T8" s="98"/>
      <c r="U8" s="98"/>
      <c r="V8" s="98"/>
    </row>
    <row r="9" spans="1:22" ht="19.399999999999999" thickTop="1" thickBot="1" x14ac:dyDescent="0.45">
      <c r="A9" s="87"/>
      <c r="B9" s="12">
        <v>8</v>
      </c>
      <c r="C9" s="12">
        <v>0.7</v>
      </c>
      <c r="E9" s="1" t="s">
        <v>22</v>
      </c>
      <c r="F9" s="86">
        <f>'BACKGROUND Calcs'!H24</f>
        <v>9</v>
      </c>
      <c r="G9" s="86">
        <f>'BACKGROUND Calcs'!H38</f>
        <v>9</v>
      </c>
      <c r="H9" s="86">
        <f>'BACKGROUND Calcs'!H51</f>
        <v>17</v>
      </c>
      <c r="I9" s="86">
        <f>'BACKGROUND Calcs'!$H$54</f>
        <v>14</v>
      </c>
      <c r="J9" s="86">
        <f>'BACKGROUND Calcs'!$H$57</f>
        <v>14</v>
      </c>
      <c r="K9" s="86">
        <f>'BACKGROUND Calcs'!$H$60</f>
        <v>14</v>
      </c>
    </row>
    <row r="10" spans="1:22" ht="24.95" thickTop="1" thickBot="1" x14ac:dyDescent="0.45">
      <c r="A10" s="87"/>
      <c r="B10" s="12">
        <v>9</v>
      </c>
      <c r="C10" s="12">
        <v>0.75</v>
      </c>
      <c r="E10" s="1" t="s">
        <v>23</v>
      </c>
      <c r="F10" s="86">
        <f>'BACKGROUND Calcs'!I24</f>
        <v>8</v>
      </c>
      <c r="G10" s="86">
        <f>'BACKGROUND Calcs'!I38</f>
        <v>8</v>
      </c>
      <c r="H10" s="86">
        <f>'BACKGROUND Calcs'!I51</f>
        <v>17</v>
      </c>
      <c r="I10" s="86">
        <f>'BACKGROUND Calcs'!$I$54</f>
        <v>13</v>
      </c>
      <c r="J10" s="86">
        <f>'BACKGROUND Calcs'!$I$57</f>
        <v>13</v>
      </c>
      <c r="K10" s="86">
        <f>'BACKGROUND Calcs'!$I$60</f>
        <v>13</v>
      </c>
      <c r="M10" s="103" t="s">
        <v>125</v>
      </c>
      <c r="N10" s="103"/>
      <c r="O10" s="103"/>
      <c r="P10" s="103"/>
      <c r="Q10" s="103"/>
      <c r="R10" s="103"/>
      <c r="S10" s="103"/>
      <c r="T10" s="103"/>
      <c r="U10" s="103"/>
      <c r="V10" s="103"/>
    </row>
    <row r="11" spans="1:22" ht="18.850000000000001" thickTop="1" x14ac:dyDescent="0.4">
      <c r="A11" s="87" t="s">
        <v>26</v>
      </c>
      <c r="B11" s="12">
        <v>10</v>
      </c>
      <c r="C11" s="12">
        <v>0.79</v>
      </c>
    </row>
    <row r="12" spans="1:22" ht="18.3" x14ac:dyDescent="0.4">
      <c r="A12" s="87"/>
      <c r="B12" s="12">
        <v>11</v>
      </c>
      <c r="C12" s="12">
        <v>0.82</v>
      </c>
    </row>
    <row r="13" spans="1:22" ht="18.3" x14ac:dyDescent="0.4">
      <c r="A13" s="87"/>
      <c r="B13" s="12">
        <v>12</v>
      </c>
      <c r="C13" s="12">
        <v>0.85</v>
      </c>
    </row>
    <row r="14" spans="1:22" ht="18.3" x14ac:dyDescent="0.4">
      <c r="A14" s="87"/>
      <c r="B14" s="12">
        <v>13</v>
      </c>
      <c r="C14" s="12">
        <v>0.88</v>
      </c>
    </row>
    <row r="15" spans="1:22" ht="18.3" x14ac:dyDescent="0.4">
      <c r="A15" s="87"/>
      <c r="B15" s="12">
        <v>14</v>
      </c>
      <c r="C15" s="12">
        <v>0.91</v>
      </c>
    </row>
    <row r="16" spans="1:22" ht="18.3" x14ac:dyDescent="0.4">
      <c r="A16" s="87"/>
      <c r="B16" s="12">
        <v>15</v>
      </c>
      <c r="C16" s="12">
        <v>0.93</v>
      </c>
    </row>
    <row r="17" spans="1:3" ht="18.3" x14ac:dyDescent="0.4">
      <c r="A17" s="87"/>
      <c r="B17" s="12">
        <v>16</v>
      </c>
      <c r="C17" s="12">
        <v>0.95</v>
      </c>
    </row>
    <row r="18" spans="1:3" ht="18.3" x14ac:dyDescent="0.4">
      <c r="A18" s="87" t="s">
        <v>25</v>
      </c>
      <c r="B18" s="12">
        <v>17</v>
      </c>
      <c r="C18" s="12">
        <v>0.96</v>
      </c>
    </row>
    <row r="19" spans="1:3" ht="18.3" x14ac:dyDescent="0.4">
      <c r="A19" s="87"/>
      <c r="B19" s="12">
        <v>18</v>
      </c>
      <c r="C19" s="12">
        <v>0.97</v>
      </c>
    </row>
    <row r="20" spans="1:3" ht="18.3" x14ac:dyDescent="0.4">
      <c r="A20" s="87"/>
      <c r="B20" s="12">
        <v>19</v>
      </c>
      <c r="C20" s="12">
        <v>0.98</v>
      </c>
    </row>
    <row r="21" spans="1:3" ht="18.3" x14ac:dyDescent="0.4">
      <c r="A21" s="87"/>
      <c r="B21" s="12">
        <v>20</v>
      </c>
      <c r="C21" s="12">
        <v>0.99</v>
      </c>
    </row>
    <row r="22" spans="1:3" ht="18.3" x14ac:dyDescent="0.4">
      <c r="A22" s="87"/>
      <c r="B22" s="12">
        <v>21</v>
      </c>
      <c r="C22" s="12">
        <v>1</v>
      </c>
    </row>
    <row r="23" spans="1:3" ht="18.3" x14ac:dyDescent="0.4">
      <c r="A23" s="87"/>
      <c r="B23" s="12">
        <v>22</v>
      </c>
      <c r="C23" s="12">
        <v>1.05</v>
      </c>
    </row>
    <row r="24" spans="1:3" ht="18.3" x14ac:dyDescent="0.4">
      <c r="A24" s="87"/>
      <c r="B24" s="12">
        <v>23</v>
      </c>
      <c r="C24" s="12">
        <v>1.1000000000000001</v>
      </c>
    </row>
    <row r="25" spans="1:3" ht="18.3" x14ac:dyDescent="0.4">
      <c r="A25" s="87"/>
      <c r="B25" s="12">
        <v>24</v>
      </c>
      <c r="C25" s="12">
        <v>1.1499999999999999</v>
      </c>
    </row>
    <row r="26" spans="1:3" ht="18.3" x14ac:dyDescent="0.4">
      <c r="A26" s="87"/>
      <c r="B26" s="12">
        <v>25</v>
      </c>
      <c r="C26" s="12">
        <v>1.2</v>
      </c>
    </row>
  </sheetData>
  <mergeCells count="13">
    <mergeCell ref="A18:A26"/>
    <mergeCell ref="A11:A17"/>
    <mergeCell ref="A2:A10"/>
    <mergeCell ref="E1:K1"/>
    <mergeCell ref="M2:V2"/>
    <mergeCell ref="M3:V3"/>
    <mergeCell ref="M5:V5"/>
    <mergeCell ref="M1:V1"/>
    <mergeCell ref="M4:V4"/>
    <mergeCell ref="M6:V6"/>
    <mergeCell ref="M10:V10"/>
    <mergeCell ref="M7:V7"/>
    <mergeCell ref="M8:V8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3878-1945-473E-9CA2-6077869515EC}">
  <dimension ref="A1:S38"/>
  <sheetViews>
    <sheetView topLeftCell="B10" zoomScale="80" zoomScaleNormal="80" workbookViewId="0">
      <selection activeCell="M34" sqref="M34"/>
    </sheetView>
  </sheetViews>
  <sheetFormatPr defaultRowHeight="14.4" x14ac:dyDescent="0.3"/>
  <cols>
    <col min="1" max="1" width="28.19921875" bestFit="1" customWidth="1"/>
    <col min="2" max="2" width="8" style="14" bestFit="1" customWidth="1"/>
    <col min="3" max="3" width="2.296875" customWidth="1"/>
    <col min="4" max="4" width="5.796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6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customWidth="1"/>
    <col min="15" max="15" width="1.8984375" customWidth="1"/>
    <col min="18" max="18" width="7.69921875" customWidth="1"/>
  </cols>
  <sheetData>
    <row r="1" spans="1:19" s="30" customFormat="1" ht="24.4" thickBot="1" x14ac:dyDescent="0.35">
      <c r="A1" s="55" t="s">
        <v>76</v>
      </c>
      <c r="B1" s="63"/>
      <c r="C1" s="63"/>
      <c r="D1" s="63"/>
      <c r="F1" s="55" t="s">
        <v>110</v>
      </c>
      <c r="G1" s="55"/>
      <c r="M1" s="55" t="s">
        <v>111</v>
      </c>
      <c r="N1" s="55"/>
      <c r="Q1"/>
      <c r="R1"/>
      <c r="S1"/>
    </row>
    <row r="2" spans="1:19" ht="7.75" customHeight="1" thickTop="1" thickBot="1" x14ac:dyDescent="0.35">
      <c r="B2"/>
      <c r="D2"/>
      <c r="G2"/>
      <c r="H2"/>
      <c r="N2"/>
    </row>
    <row r="3" spans="1:19" s="30" customFormat="1" ht="24.95" thickTop="1" thickBot="1" x14ac:dyDescent="0.35">
      <c r="A3"/>
      <c r="B3" s="53" t="s">
        <v>75</v>
      </c>
      <c r="C3" s="32"/>
      <c r="D3" s="33" t="s">
        <v>47</v>
      </c>
      <c r="G3" s="31" t="s">
        <v>48</v>
      </c>
      <c r="H3" s="52"/>
      <c r="J3" s="31" t="s">
        <v>32</v>
      </c>
      <c r="K3" s="31" t="s">
        <v>33</v>
      </c>
      <c r="N3" s="34" t="s">
        <v>30</v>
      </c>
      <c r="P3" s="106" t="s">
        <v>83</v>
      </c>
      <c r="Q3" s="107"/>
      <c r="R3" s="108"/>
      <c r="S3"/>
    </row>
    <row r="4" spans="1:19" ht="15.55" customHeight="1" thickTop="1" thickBot="1" x14ac:dyDescent="0.35">
      <c r="A4" s="8" t="s">
        <v>9</v>
      </c>
      <c r="B4" s="18">
        <v>15</v>
      </c>
      <c r="D4" s="21">
        <v>15</v>
      </c>
      <c r="F4" s="8" t="s">
        <v>9</v>
      </c>
      <c r="G4" s="26">
        <v>17</v>
      </c>
      <c r="I4" s="7" t="s">
        <v>9</v>
      </c>
      <c r="J4" s="42">
        <v>20</v>
      </c>
      <c r="K4" s="42">
        <v>20</v>
      </c>
      <c r="M4" s="7" t="s">
        <v>9</v>
      </c>
      <c r="N4" s="47">
        <v>20</v>
      </c>
      <c r="P4" s="109"/>
      <c r="Q4" s="110"/>
      <c r="R4" s="111"/>
      <c r="S4" s="41"/>
    </row>
    <row r="5" spans="1:19" ht="7.2" customHeight="1" thickTop="1" thickBot="1" x14ac:dyDescent="0.35">
      <c r="B5" s="16"/>
      <c r="D5"/>
      <c r="G5"/>
      <c r="P5" s="109"/>
      <c r="Q5" s="110"/>
      <c r="R5" s="111"/>
      <c r="S5" s="41"/>
    </row>
    <row r="6" spans="1:19" ht="15.55" customHeight="1" thickTop="1" thickBot="1" x14ac:dyDescent="0.35">
      <c r="A6" s="5" t="s">
        <v>103</v>
      </c>
      <c r="B6" s="19"/>
      <c r="D6" s="22"/>
      <c r="F6" s="5" t="s">
        <v>103</v>
      </c>
      <c r="G6" s="23"/>
      <c r="I6" s="1" t="s">
        <v>143</v>
      </c>
      <c r="J6" s="43">
        <f>SUM(IF($B$9="sh",$B$10,0),(IF($D$9="sh",$D$10,0)),(IF($G$9="sh",$G$10,0)))</f>
        <v>0</v>
      </c>
      <c r="K6" s="43">
        <f>SUM(IF($B$9="cd",$B$10,0),(IF($D$9="cd",$D$10,0)),(IF($G$9="CD",$G$10,0)))</f>
        <v>0</v>
      </c>
      <c r="M6" s="1" t="s">
        <v>126</v>
      </c>
      <c r="N6" s="47">
        <f>SUM(IF(B9="SH",B10,IF(B9="CD",B10,0)),IF(D9="SH",D10,IF(D9="CD",D10,0)),IF(G9="Global",G10,0))</f>
        <v>0</v>
      </c>
      <c r="P6" s="112"/>
      <c r="Q6" s="113"/>
      <c r="R6" s="114"/>
      <c r="S6" s="41"/>
    </row>
    <row r="7" spans="1:19" ht="15.55" customHeight="1" thickTop="1" thickBot="1" x14ac:dyDescent="0.35">
      <c r="A7" s="5" t="s">
        <v>104</v>
      </c>
      <c r="B7" s="20"/>
      <c r="D7" s="22"/>
      <c r="F7" s="5" t="s">
        <v>104</v>
      </c>
      <c r="G7" s="23"/>
      <c r="I7" s="1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  <c r="S7" s="41"/>
    </row>
    <row r="8" spans="1:19" ht="6.1" customHeight="1" thickTop="1" thickBot="1" x14ac:dyDescent="0.35">
      <c r="B8"/>
      <c r="D8"/>
      <c r="G8"/>
      <c r="S8" s="41"/>
    </row>
    <row r="9" spans="1:19" ht="15.55" thickTop="1" thickBot="1" x14ac:dyDescent="0.35">
      <c r="A9" s="1" t="s">
        <v>108</v>
      </c>
      <c r="B9" s="20"/>
      <c r="D9" s="20"/>
      <c r="F9" s="1" t="s">
        <v>108</v>
      </c>
      <c r="G9" s="24"/>
      <c r="I9" s="8" t="s">
        <v>102</v>
      </c>
      <c r="J9" s="42"/>
      <c r="K9" s="42"/>
      <c r="M9" s="8" t="s">
        <v>114</v>
      </c>
      <c r="N9" s="47"/>
      <c r="P9" s="115" t="s">
        <v>105</v>
      </c>
      <c r="Q9" s="116"/>
      <c r="R9" s="117"/>
      <c r="S9" s="41"/>
    </row>
    <row r="10" spans="1:19" ht="15.55" thickTop="1" thickBot="1" x14ac:dyDescent="0.35">
      <c r="A10" s="1" t="s">
        <v>124</v>
      </c>
      <c r="B10" s="20"/>
      <c r="D10" s="20"/>
      <c r="F10" s="1" t="s">
        <v>124</v>
      </c>
      <c r="G10" s="23"/>
      <c r="I10" s="8" t="s">
        <v>114</v>
      </c>
      <c r="J10" s="43"/>
      <c r="K10" s="43"/>
      <c r="M10" s="8"/>
      <c r="N10" s="47"/>
      <c r="P10" s="118"/>
      <c r="Q10" s="119"/>
      <c r="R10" s="120"/>
      <c r="S10" s="41"/>
    </row>
    <row r="11" spans="1:19" ht="15.55" thickTop="1" thickBot="1" x14ac:dyDescent="0.35">
      <c r="A11" s="1" t="s">
        <v>109</v>
      </c>
      <c r="B11" s="20"/>
      <c r="D11" s="20"/>
      <c r="F11" s="1" t="s">
        <v>109</v>
      </c>
      <c r="G11" s="23"/>
      <c r="I11" s="7" t="s">
        <v>24</v>
      </c>
      <c r="J11" s="42">
        <f>SUM(IF(J6&gt;0,1,0),IF(J9&gt;0,0,-1),J10)</f>
        <v>-1</v>
      </c>
      <c r="K11" s="42">
        <f>SUM(IF(K6&gt;0,1,0),IF(K9&gt;0,0,-1),K10)</f>
        <v>-1</v>
      </c>
      <c r="M11" s="7" t="s">
        <v>24</v>
      </c>
      <c r="N11" s="47">
        <f>IF(B9="SH",0,IF(B9="CD",0,IF(D9="SH",0,IF(D9="CD",0,-1))))</f>
        <v>-1</v>
      </c>
      <c r="P11" s="121"/>
      <c r="Q11" s="122"/>
      <c r="R11" s="123"/>
      <c r="S11" s="41"/>
    </row>
    <row r="12" spans="1:19" ht="14.95" customHeight="1" thickTop="1" thickBot="1" x14ac:dyDescent="0.35">
      <c r="A12" s="69" t="s">
        <v>140</v>
      </c>
      <c r="B12" s="67"/>
      <c r="D12" s="51"/>
      <c r="F12" s="69" t="s">
        <v>140</v>
      </c>
      <c r="G12" s="61"/>
      <c r="I12" s="7" t="s">
        <v>10</v>
      </c>
      <c r="J12" s="42" t="str">
        <f>IF('BACKGROUND Calcs'!$C$54&lt;10,"Weak",IF('BACKGROUND Calcs'!$C$54&gt;16,"Good","Normal"))</f>
        <v>Good</v>
      </c>
      <c r="K12" s="42" t="str">
        <f>IF('BACKGROUND Calcs'!$C$57&lt;10,"Weak",IF('BACKGROUND Calcs'!$C$57&gt;16,"Good","Normal"))</f>
        <v>Good</v>
      </c>
      <c r="M12" s="7" t="s">
        <v>10</v>
      </c>
      <c r="N12" s="48" t="str">
        <f>IF('BACKGROUND Calcs'!$C$60&lt;10,"Weak",IF('BACKGROUND Calcs'!$C$60&gt;16,"Good","Normal"))</f>
        <v>Good</v>
      </c>
      <c r="S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5"/>
      <c r="I13" s="41"/>
      <c r="J13" s="41"/>
      <c r="K13" s="41"/>
      <c r="L13" s="41"/>
      <c r="M13" s="41"/>
      <c r="N13" s="41"/>
      <c r="O13" s="41"/>
      <c r="P13" s="41"/>
      <c r="Q13" s="41"/>
      <c r="S13" s="41"/>
    </row>
    <row r="14" spans="1:19" ht="15.55" customHeight="1" thickTop="1" thickBot="1" x14ac:dyDescent="0.35">
      <c r="B14" s="17"/>
      <c r="I14" s="124" t="s">
        <v>147</v>
      </c>
      <c r="J14" s="125"/>
      <c r="K14" s="126"/>
      <c r="L14" s="41"/>
      <c r="M14" s="133" t="s">
        <v>145</v>
      </c>
      <c r="N14" s="134"/>
      <c r="O14" s="134"/>
      <c r="P14" s="134"/>
      <c r="Q14" s="134"/>
      <c r="R14" s="135"/>
      <c r="S14" s="41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4"/>
      <c r="I15" s="127"/>
      <c r="J15" s="128"/>
      <c r="K15" s="129"/>
      <c r="L15" s="41"/>
      <c r="M15" s="136"/>
      <c r="N15" s="137"/>
      <c r="O15" s="137"/>
      <c r="P15" s="137"/>
      <c r="Q15" s="137"/>
      <c r="R15" s="138"/>
      <c r="S15" s="41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8"/>
      <c r="I16" s="127"/>
      <c r="J16" s="128"/>
      <c r="K16" s="129"/>
      <c r="L16" s="41"/>
      <c r="M16" s="136"/>
      <c r="N16" s="137"/>
      <c r="O16" s="137"/>
      <c r="P16" s="137"/>
      <c r="Q16" s="137"/>
      <c r="R16" s="138"/>
      <c r="S16" s="41"/>
    </row>
    <row r="17" spans="1:19" ht="15.55" customHeight="1" thickTop="1" thickBot="1" x14ac:dyDescent="0.35">
      <c r="A17" s="6" t="s">
        <v>113</v>
      </c>
      <c r="B17" s="20"/>
      <c r="D17" s="22"/>
      <c r="F17" s="6" t="s">
        <v>113</v>
      </c>
      <c r="G17" s="25"/>
      <c r="I17" s="127"/>
      <c r="J17" s="128"/>
      <c r="K17" s="129"/>
      <c r="L17" s="41"/>
      <c r="M17" s="136"/>
      <c r="N17" s="137"/>
      <c r="O17" s="137"/>
      <c r="P17" s="137"/>
      <c r="Q17" s="137"/>
      <c r="R17" s="138"/>
      <c r="S17" s="41"/>
    </row>
    <row r="18" spans="1:19" ht="15.55" customHeight="1" thickTop="1" thickBot="1" x14ac:dyDescent="0.35">
      <c r="A18" s="6" t="s">
        <v>122</v>
      </c>
      <c r="B18" s="20"/>
      <c r="D18" s="22"/>
      <c r="F18" s="6" t="s">
        <v>122</v>
      </c>
      <c r="G18" s="24"/>
      <c r="I18" s="127"/>
      <c r="J18" s="128"/>
      <c r="K18" s="129"/>
      <c r="L18" s="41"/>
      <c r="M18" s="136"/>
      <c r="N18" s="137"/>
      <c r="O18" s="137"/>
      <c r="P18" s="137"/>
      <c r="Q18" s="137"/>
      <c r="R18" s="138"/>
      <c r="S18" s="41"/>
    </row>
    <row r="19" spans="1:19" ht="15.55" customHeight="1" thickTop="1" thickBot="1" x14ac:dyDescent="0.35">
      <c r="I19" s="127"/>
      <c r="J19" s="128"/>
      <c r="K19" s="129"/>
      <c r="L19" s="41"/>
      <c r="M19" s="136"/>
      <c r="N19" s="137"/>
      <c r="O19" s="137"/>
      <c r="P19" s="137"/>
      <c r="Q19" s="137"/>
      <c r="R19" s="138"/>
      <c r="S19" s="41"/>
    </row>
    <row r="20" spans="1:19" ht="15.55" customHeight="1" thickTop="1" thickBot="1" x14ac:dyDescent="0.35">
      <c r="A20" s="8" t="s">
        <v>121</v>
      </c>
      <c r="B20" s="20"/>
      <c r="D20" s="22"/>
      <c r="F20" s="8" t="s">
        <v>121</v>
      </c>
      <c r="G20" s="24"/>
      <c r="I20" s="127"/>
      <c r="J20" s="128"/>
      <c r="K20" s="129"/>
      <c r="L20" s="41"/>
      <c r="M20" s="136"/>
      <c r="N20" s="137"/>
      <c r="O20" s="137"/>
      <c r="P20" s="137"/>
      <c r="Q20" s="137"/>
      <c r="R20" s="138"/>
      <c r="S20" s="41"/>
    </row>
    <row r="21" spans="1:19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  <c r="S21" s="41"/>
    </row>
    <row r="22" spans="1:19" ht="15.55" customHeight="1" thickTop="1" thickBot="1" x14ac:dyDescent="0.35">
      <c r="A22" s="7" t="s">
        <v>10</v>
      </c>
      <c r="B22" s="73" t="str">
        <f>IF('BACKGROUND Calcs'!$C$24&lt;10,"Weak",IF('BACKGROUND Calcs'!$C$24&gt;16,"Good","Normal"))</f>
        <v>Normal</v>
      </c>
      <c r="C22" s="46"/>
      <c r="D22" s="21" t="str">
        <f>IF('BACKGROUND Calcs'!$C$38&lt;10,"Weak",IF('BACKGROUND Calcs'!$C$38&gt;16,"Good","Normal"))</f>
        <v>Normal</v>
      </c>
      <c r="F22" s="7" t="s">
        <v>10</v>
      </c>
      <c r="G22" s="26" t="str">
        <f>IF('BACKGROUND Calcs'!$C$51&lt;10,"Weak",IF('BACKGROUND Calcs'!$C$51&gt;16,"Good","Normal"))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  <c r="S22" s="41"/>
    </row>
    <row r="23" spans="1:19" ht="14.4" customHeight="1" thickTop="1" thickBot="1" x14ac:dyDescent="0.35">
      <c r="B23" s="17"/>
      <c r="I23" s="127"/>
      <c r="J23" s="128"/>
      <c r="K23" s="129"/>
      <c r="L23" s="41"/>
      <c r="M23" s="136"/>
      <c r="N23" s="137"/>
      <c r="O23" s="137"/>
      <c r="P23" s="137"/>
      <c r="Q23" s="137"/>
      <c r="R23" s="138"/>
      <c r="S23" s="41"/>
    </row>
    <row r="24" spans="1:19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  <c r="S24" s="41"/>
    </row>
    <row r="25" spans="1:19" ht="14.4" customHeight="1" thickTop="1" thickBot="1" x14ac:dyDescent="0.35">
      <c r="A25" s="69" t="s">
        <v>35</v>
      </c>
      <c r="B25" s="67">
        <f>'BACKGROUND Calcs'!C19+B12*IF(B9="Global",0,B10)+B24</f>
        <v>0</v>
      </c>
      <c r="D25" s="51">
        <f>'BACKGROUND Calcs'!C33+D12*IF(D9="Global",0,D10)+D24</f>
        <v>0</v>
      </c>
      <c r="F25" s="69" t="s">
        <v>35</v>
      </c>
      <c r="G25" s="75">
        <f>'BACKGROUND Calcs'!C47+G12*IF(G9="Global",0,G10)+G24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  <c r="S25" s="41"/>
    </row>
    <row r="26" spans="1:19" ht="14.95" customHeight="1" thickTop="1" thickBot="1" x14ac:dyDescent="0.35">
      <c r="A26" s="69" t="s">
        <v>41</v>
      </c>
      <c r="B26" s="45">
        <v>0</v>
      </c>
      <c r="D26" s="44">
        <f>'BACKGROUND Calcs'!C36</f>
        <v>0.10280373831775701</v>
      </c>
      <c r="F26" s="69" t="s">
        <v>41</v>
      </c>
      <c r="G26" s="61">
        <f>'BACKGROUND Calcs'!C49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  <c r="S26" s="41"/>
    </row>
    <row r="27" spans="1:19" ht="15.55" customHeight="1" thickTop="1" thickBot="1" x14ac:dyDescent="0.35">
      <c r="A27" s="69" t="s">
        <v>49</v>
      </c>
      <c r="B27" s="45">
        <f>'BACKGROUND Calcs'!C23</f>
        <v>0.15576923076923077</v>
      </c>
      <c r="D27" s="44">
        <f>'BACKGROUND Calcs'!C37</f>
        <v>3.8461538461538464E-2</v>
      </c>
      <c r="F27" s="69" t="s">
        <v>49</v>
      </c>
      <c r="G27" s="61">
        <f>'BACKGROUND Calcs'!C50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9" ht="15.55" thickTop="1" thickBot="1" x14ac:dyDescent="0.35">
      <c r="A28" s="69" t="s">
        <v>149</v>
      </c>
      <c r="B28" s="76"/>
      <c r="D28" s="77"/>
      <c r="F28" s="78" t="s">
        <v>132</v>
      </c>
      <c r="G28" s="79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9" ht="22.15" customHeight="1" thickTop="1" x14ac:dyDescent="0.3"/>
    <row r="30" spans="1:19" ht="14.4" customHeight="1" x14ac:dyDescent="0.3">
      <c r="B30"/>
    </row>
    <row r="31" spans="1:19" ht="14.4" customHeight="1" x14ac:dyDescent="0.3">
      <c r="B31"/>
    </row>
    <row r="32" spans="1:19" ht="14.95" customHeight="1" x14ac:dyDescent="0.3">
      <c r="B32"/>
    </row>
    <row r="33" spans="2:2" x14ac:dyDescent="0.3">
      <c r="B33"/>
    </row>
    <row r="34" spans="2:2" ht="14.4" customHeight="1" x14ac:dyDescent="0.3">
      <c r="B34"/>
    </row>
    <row r="35" spans="2:2" ht="14.4" customHeight="1" x14ac:dyDescent="0.3"/>
    <row r="36" spans="2:2" ht="14.4" customHeight="1" x14ac:dyDescent="0.3"/>
    <row r="37" spans="2:2" ht="14.4" customHeight="1" x14ac:dyDescent="0.3"/>
    <row r="38" spans="2:2" ht="14.95" customHeight="1" x14ac:dyDescent="0.3"/>
  </sheetData>
  <mergeCells count="4">
    <mergeCell ref="P3:R6"/>
    <mergeCell ref="P9:R11"/>
    <mergeCell ref="I14:K28"/>
    <mergeCell ref="M14:R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91775-7B70-4519-B55C-0500A67E54F2}">
  <dimension ref="A1:S29"/>
  <sheetViews>
    <sheetView topLeftCell="A2" zoomScale="80" zoomScaleNormal="80" workbookViewId="0">
      <selection activeCell="N10" sqref="M10:N10"/>
    </sheetView>
  </sheetViews>
  <sheetFormatPr defaultRowHeight="14.4" x14ac:dyDescent="0.3"/>
  <cols>
    <col min="1" max="1" width="28.19921875" bestFit="1" customWidth="1"/>
    <col min="2" max="2" width="7.19921875" style="14" customWidth="1"/>
    <col min="3" max="3" width="2.296875" customWidth="1"/>
    <col min="4" max="4" width="5.796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4.796875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bestFit="1" customWidth="1"/>
    <col min="15" max="15" width="2.19921875" customWidth="1"/>
  </cols>
  <sheetData>
    <row r="1" spans="1:19" s="30" customFormat="1" ht="24.4" thickBot="1" x14ac:dyDescent="0.35">
      <c r="A1" s="55" t="s">
        <v>77</v>
      </c>
      <c r="B1" s="63"/>
      <c r="C1" s="63"/>
      <c r="D1" s="63"/>
      <c r="F1" s="55" t="s">
        <v>110</v>
      </c>
      <c r="G1" s="55"/>
      <c r="M1" s="55" t="s">
        <v>111</v>
      </c>
      <c r="N1" s="55"/>
      <c r="Q1" s="41"/>
      <c r="R1" s="41"/>
    </row>
    <row r="2" spans="1:19" ht="8.9" customHeight="1" thickTop="1" thickBot="1" x14ac:dyDescent="0.35">
      <c r="B2"/>
      <c r="D2"/>
      <c r="G2"/>
      <c r="H2"/>
      <c r="N2"/>
    </row>
    <row r="3" spans="1:19" ht="24.95" thickTop="1" thickBot="1" x14ac:dyDescent="0.35">
      <c r="B3" s="53" t="s">
        <v>75</v>
      </c>
      <c r="C3" s="32"/>
      <c r="D3" s="33" t="s">
        <v>47</v>
      </c>
      <c r="E3" s="30"/>
      <c r="F3" s="30"/>
      <c r="G3" s="31" t="s">
        <v>48</v>
      </c>
      <c r="H3" s="52"/>
      <c r="I3" s="30"/>
      <c r="J3" s="31" t="s">
        <v>32</v>
      </c>
      <c r="K3" s="31" t="s">
        <v>33</v>
      </c>
      <c r="L3" s="30"/>
      <c r="M3" s="30"/>
      <c r="N3" s="34" t="s">
        <v>30</v>
      </c>
      <c r="P3" s="142" t="s">
        <v>84</v>
      </c>
      <c r="Q3" s="143"/>
      <c r="R3" s="144"/>
    </row>
    <row r="4" spans="1:19" ht="15.55" customHeight="1" thickTop="1" thickBot="1" x14ac:dyDescent="0.35">
      <c r="A4" s="8" t="s">
        <v>9</v>
      </c>
      <c r="B4" s="18">
        <f>'BACKGROUND Calcs'!C24</f>
        <v>14</v>
      </c>
      <c r="D4" s="21">
        <f>'BACKGROUND Calcs'!C38</f>
        <v>14</v>
      </c>
      <c r="F4" s="8" t="s">
        <v>9</v>
      </c>
      <c r="G4" s="26">
        <f>'BACKGROUND Calcs'!C51</f>
        <v>17</v>
      </c>
      <c r="I4" s="7" t="s">
        <v>9</v>
      </c>
      <c r="J4" s="42">
        <f>'BACKGROUND Calcs'!C54</f>
        <v>19</v>
      </c>
      <c r="K4" s="42">
        <f>'BACKGROUND Calcs'!C57</f>
        <v>19</v>
      </c>
      <c r="M4" s="7" t="s">
        <v>9</v>
      </c>
      <c r="N4" s="47">
        <f>'BACKGROUND Calcs'!C60</f>
        <v>19</v>
      </c>
      <c r="P4" s="145"/>
      <c r="Q4" s="146"/>
      <c r="R4" s="147"/>
    </row>
    <row r="5" spans="1:19" ht="6.65" customHeight="1" thickTop="1" thickBot="1" x14ac:dyDescent="0.35">
      <c r="B5" s="16"/>
      <c r="D5"/>
      <c r="G5"/>
      <c r="N5"/>
      <c r="P5" s="145"/>
      <c r="Q5" s="146"/>
      <c r="R5" s="147"/>
    </row>
    <row r="6" spans="1:19" ht="15.55" customHeight="1" thickTop="1" thickBot="1" x14ac:dyDescent="0.35">
      <c r="A6" s="5" t="s">
        <v>103</v>
      </c>
      <c r="B6" s="19"/>
      <c r="D6" s="22"/>
      <c r="F6" s="5" t="s">
        <v>103</v>
      </c>
      <c r="G6" s="23"/>
      <c r="I6" s="1" t="s">
        <v>143</v>
      </c>
      <c r="J6" s="43">
        <f>SUM(IF($B$9="sh",$B$10,0),(IF($D$9="sh",$D$10,0)),(IF(G9="sh",G10,0)))</f>
        <v>0</v>
      </c>
      <c r="K6" s="43">
        <f>SUM(IF($B$9="cd",$B$10,0),(IF($D$9="cd",$D$10,0)),(IF(G9="CD",G10,0)))</f>
        <v>0</v>
      </c>
      <c r="M6" s="1" t="s">
        <v>126</v>
      </c>
      <c r="N6" s="47">
        <f>SUM(IF(B9="SH",B10,IF(B9="CD",B10,0)),IF(D9="SH",D10,IF(D9="CD",D10,0)),IF(G9="Global",G10,0))</f>
        <v>0</v>
      </c>
      <c r="P6" s="148"/>
      <c r="Q6" s="149"/>
      <c r="R6" s="150"/>
    </row>
    <row r="7" spans="1:19" ht="15.55" customHeight="1" thickTop="1" thickBot="1" x14ac:dyDescent="0.35">
      <c r="A7" s="5" t="s">
        <v>104</v>
      </c>
      <c r="B7" s="20"/>
      <c r="D7" s="22"/>
      <c r="F7" s="5" t="s">
        <v>104</v>
      </c>
      <c r="G7" s="23"/>
      <c r="I7" s="1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</row>
    <row r="8" spans="1:19" ht="6.1" customHeight="1" thickTop="1" thickBot="1" x14ac:dyDescent="0.35">
      <c r="B8"/>
      <c r="D8"/>
      <c r="G8"/>
    </row>
    <row r="9" spans="1:19" ht="15.55" customHeight="1" thickTop="1" thickBot="1" x14ac:dyDescent="0.35">
      <c r="A9" s="1" t="s">
        <v>108</v>
      </c>
      <c r="B9" s="20"/>
      <c r="D9" s="22"/>
      <c r="F9" s="1" t="s">
        <v>108</v>
      </c>
      <c r="G9" s="24"/>
      <c r="I9" s="8" t="s">
        <v>102</v>
      </c>
      <c r="J9" s="42"/>
      <c r="K9" s="42"/>
      <c r="M9" s="8" t="s">
        <v>114</v>
      </c>
      <c r="N9" s="47"/>
      <c r="P9" s="106" t="s">
        <v>85</v>
      </c>
      <c r="Q9" s="107"/>
      <c r="R9" s="108"/>
    </row>
    <row r="10" spans="1:19" ht="15.55" thickTop="1" thickBot="1" x14ac:dyDescent="0.35">
      <c r="A10" s="1" t="s">
        <v>124</v>
      </c>
      <c r="B10" s="20"/>
      <c r="D10" s="22"/>
      <c r="F10" s="1" t="s">
        <v>124</v>
      </c>
      <c r="G10" s="23"/>
      <c r="I10" s="8" t="s">
        <v>114</v>
      </c>
      <c r="J10" s="43"/>
      <c r="K10" s="43"/>
      <c r="M10" s="8"/>
      <c r="N10" s="47"/>
      <c r="P10" s="109"/>
      <c r="Q10" s="110"/>
      <c r="R10" s="111"/>
    </row>
    <row r="11" spans="1:19" ht="15.55" thickTop="1" thickBot="1" x14ac:dyDescent="0.35">
      <c r="A11" s="1" t="s">
        <v>109</v>
      </c>
      <c r="B11" s="20"/>
      <c r="D11" s="22"/>
      <c r="F11" s="1" t="s">
        <v>109</v>
      </c>
      <c r="G11" s="23"/>
      <c r="I11" s="7" t="s">
        <v>24</v>
      </c>
      <c r="J11" s="42">
        <f>SUM(IF(J6&gt;0,1,0),IF(J9&gt;0,0,-1),J5,J10)</f>
        <v>-1</v>
      </c>
      <c r="K11" s="42">
        <f>SUM(IF(K6&gt;0,1,0),IF(K9&gt;0,0,-1),K5,K10)</f>
        <v>-1</v>
      </c>
      <c r="M11" s="7" t="s">
        <v>24</v>
      </c>
      <c r="N11" s="47">
        <f>IF(B9="SH",0,IF(B9="CD",0,IF(D9="SH",0,IF(D9="CD",0,-1))))</f>
        <v>-1</v>
      </c>
      <c r="P11" s="112"/>
      <c r="Q11" s="113"/>
      <c r="R11" s="114"/>
    </row>
    <row r="12" spans="1:19" ht="14.95" customHeight="1" thickTop="1" thickBot="1" x14ac:dyDescent="0.35">
      <c r="A12" s="69" t="s">
        <v>140</v>
      </c>
      <c r="B12" s="67"/>
      <c r="D12" s="51"/>
      <c r="F12" s="69" t="s">
        <v>140</v>
      </c>
      <c r="G12" s="61"/>
      <c r="I12" s="7" t="s">
        <v>10</v>
      </c>
      <c r="J12" s="42" t="str">
        <f>IF('BACKGROUND Calcs'!$D$54&lt;10,"Weak",IF('BACKGROUND Calcs'!$D$54&gt;16,"Good","Normal"))</f>
        <v>Good</v>
      </c>
      <c r="K12" s="42" t="str">
        <f>IF('BACKGROUND Calcs'!$D$57&lt;10,"Weak",IF('BACKGROUND Calcs'!$D$57&gt;16,"Good","Normal"))</f>
        <v>Good</v>
      </c>
      <c r="M12" s="7" t="s">
        <v>10</v>
      </c>
      <c r="N12" s="48" t="str">
        <f>IF('BACKGROUND Calcs'!$D$60&lt;10,"Weak",IF('BACKGROUND Calcs'!$D$60&gt;16,"Good","Normal"))</f>
        <v>Good</v>
      </c>
      <c r="O12" s="41"/>
      <c r="P12" s="41"/>
      <c r="Q12" s="41"/>
      <c r="S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5"/>
      <c r="I13" s="41"/>
      <c r="J13" s="41"/>
      <c r="K13" s="41"/>
      <c r="L13" s="41"/>
      <c r="M13" s="41"/>
      <c r="N13" s="41"/>
      <c r="O13" s="41"/>
      <c r="P13" s="41"/>
      <c r="Q13" s="41"/>
      <c r="S13" s="41"/>
    </row>
    <row r="14" spans="1:19" ht="15.55" customHeight="1" thickTop="1" thickBot="1" x14ac:dyDescent="0.35">
      <c r="B14" s="17"/>
      <c r="I14" s="124" t="s">
        <v>147</v>
      </c>
      <c r="J14" s="125"/>
      <c r="K14" s="126"/>
      <c r="L14" s="41"/>
      <c r="M14" s="133" t="s">
        <v>146</v>
      </c>
      <c r="N14" s="134"/>
      <c r="O14" s="134"/>
      <c r="P14" s="134"/>
      <c r="Q14" s="134"/>
      <c r="R14" s="135"/>
      <c r="S14" s="41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4"/>
      <c r="I15" s="127"/>
      <c r="J15" s="128"/>
      <c r="K15" s="129"/>
      <c r="L15" s="41"/>
      <c r="M15" s="136"/>
      <c r="N15" s="137"/>
      <c r="O15" s="137"/>
      <c r="P15" s="137"/>
      <c r="Q15" s="137"/>
      <c r="R15" s="138"/>
      <c r="S15" s="41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8"/>
      <c r="I16" s="127"/>
      <c r="J16" s="128"/>
      <c r="K16" s="129"/>
      <c r="L16" s="41"/>
      <c r="M16" s="136"/>
      <c r="N16" s="137"/>
      <c r="O16" s="137"/>
      <c r="P16" s="137"/>
      <c r="Q16" s="137"/>
      <c r="R16" s="138"/>
      <c r="S16" s="41"/>
    </row>
    <row r="17" spans="1:19" ht="15.55" customHeight="1" thickTop="1" thickBot="1" x14ac:dyDescent="0.35">
      <c r="A17" s="6" t="s">
        <v>113</v>
      </c>
      <c r="B17" s="20"/>
      <c r="D17" s="22"/>
      <c r="F17" s="6" t="s">
        <v>113</v>
      </c>
      <c r="G17" s="25"/>
      <c r="I17" s="127"/>
      <c r="J17" s="128"/>
      <c r="K17" s="129"/>
      <c r="L17" s="41"/>
      <c r="M17" s="136"/>
      <c r="N17" s="137"/>
      <c r="O17" s="137"/>
      <c r="P17" s="137"/>
      <c r="Q17" s="137"/>
      <c r="R17" s="138"/>
      <c r="S17" s="41"/>
    </row>
    <row r="18" spans="1:19" ht="15.55" customHeight="1" thickTop="1" thickBot="1" x14ac:dyDescent="0.35">
      <c r="A18" s="6" t="s">
        <v>122</v>
      </c>
      <c r="B18" s="20"/>
      <c r="D18" s="22"/>
      <c r="F18" s="6" t="s">
        <v>122</v>
      </c>
      <c r="G18" s="24"/>
      <c r="I18" s="127"/>
      <c r="J18" s="128"/>
      <c r="K18" s="129"/>
      <c r="L18" s="41"/>
      <c r="M18" s="136"/>
      <c r="N18" s="137"/>
      <c r="O18" s="137"/>
      <c r="P18" s="137"/>
      <c r="Q18" s="137"/>
      <c r="R18" s="138"/>
      <c r="S18" s="41"/>
    </row>
    <row r="19" spans="1:19" ht="15.55" customHeight="1" thickTop="1" thickBot="1" x14ac:dyDescent="0.35">
      <c r="I19" s="127"/>
      <c r="J19" s="128"/>
      <c r="K19" s="129"/>
      <c r="L19" s="41"/>
      <c r="M19" s="136"/>
      <c r="N19" s="137"/>
      <c r="O19" s="137"/>
      <c r="P19" s="137"/>
      <c r="Q19" s="137"/>
      <c r="R19" s="138"/>
      <c r="S19" s="41"/>
    </row>
    <row r="20" spans="1:19" ht="15.55" customHeight="1" thickTop="1" thickBot="1" x14ac:dyDescent="0.35">
      <c r="A20" s="8" t="s">
        <v>121</v>
      </c>
      <c r="B20" s="20"/>
      <c r="D20" s="22"/>
      <c r="F20" s="8" t="s">
        <v>121</v>
      </c>
      <c r="G20" s="24"/>
      <c r="I20" s="127"/>
      <c r="J20" s="128"/>
      <c r="K20" s="129"/>
      <c r="L20" s="41"/>
      <c r="M20" s="136"/>
      <c r="N20" s="137"/>
      <c r="O20" s="137"/>
      <c r="P20" s="137"/>
      <c r="Q20" s="137"/>
      <c r="R20" s="138"/>
      <c r="S20" s="41"/>
    </row>
    <row r="21" spans="1:19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  <c r="S21" s="41"/>
    </row>
    <row r="22" spans="1:19" ht="14.95" customHeight="1" thickTop="1" thickBot="1" x14ac:dyDescent="0.35">
      <c r="A22" s="7" t="s">
        <v>10</v>
      </c>
      <c r="B22" s="73" t="str">
        <f>IF('BACKGROUND Calcs'!$D$24&lt;10,"Weak",IF('BACKGROUND Calcs'!$D$24&gt;16,"Good","Normal"))</f>
        <v>Normal</v>
      </c>
      <c r="C22" s="46"/>
      <c r="D22" s="73" t="str">
        <f>IF('BACKGROUND Calcs'!$D$38&lt;10,"Weak",IF('BACKGROUND Calcs'!$D$38&gt;16,"Good","Normal"))</f>
        <v>Normal</v>
      </c>
      <c r="F22" s="7" t="s">
        <v>10</v>
      </c>
      <c r="G22" s="26" t="str">
        <f>IF('BACKGROUND Calcs'!$D$51&lt;10,"Weak",IF('BACKGROUND Calcs'!$D$51&gt;16,"Good","Normal"))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  <c r="S22" s="41"/>
    </row>
    <row r="23" spans="1:19" ht="14.4" customHeight="1" thickTop="1" thickBot="1" x14ac:dyDescent="0.35">
      <c r="B23" s="17"/>
      <c r="I23" s="127"/>
      <c r="J23" s="128"/>
      <c r="K23" s="129"/>
      <c r="L23" s="41"/>
      <c r="M23" s="136"/>
      <c r="N23" s="137"/>
      <c r="O23" s="137"/>
      <c r="P23" s="137"/>
      <c r="Q23" s="137"/>
      <c r="R23" s="138"/>
      <c r="S23" s="41"/>
    </row>
    <row r="24" spans="1:19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  <c r="S24" s="41"/>
    </row>
    <row r="25" spans="1:19" ht="14.4" customHeight="1" thickTop="1" thickBot="1" x14ac:dyDescent="0.35">
      <c r="A25" s="69" t="s">
        <v>35</v>
      </c>
      <c r="B25" s="67">
        <f>'BACKGROUND Calcs'!D19+B12*IF(B9="Global",0,B10)+B24</f>
        <v>0</v>
      </c>
      <c r="D25" s="51">
        <f>'BACKGROUND Calcs'!D33+D12*IF(D9="Global",0,D10)+D24</f>
        <v>0</v>
      </c>
      <c r="F25" s="69" t="s">
        <v>35</v>
      </c>
      <c r="G25" s="75">
        <f>'BACKGROUND Calcs'!D47+G12*IF(G9="Global",0,G10)+G24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  <c r="S25" s="41"/>
    </row>
    <row r="26" spans="1:19" ht="14.95" customHeight="1" thickTop="1" thickBot="1" x14ac:dyDescent="0.35">
      <c r="A26" s="69" t="s">
        <v>41</v>
      </c>
      <c r="B26" s="45">
        <v>0</v>
      </c>
      <c r="D26" s="44">
        <f>'BACKGROUND Calcs'!D36</f>
        <v>9.9547511312217188E-2</v>
      </c>
      <c r="F26" s="69" t="s">
        <v>41</v>
      </c>
      <c r="G26" s="62">
        <f>'BACKGROUND Calcs'!D49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  <c r="S26" s="41"/>
    </row>
    <row r="27" spans="1:19" ht="15.55" customHeight="1" thickTop="1" thickBot="1" x14ac:dyDescent="0.35">
      <c r="A27" s="69" t="s">
        <v>49</v>
      </c>
      <c r="B27" s="45">
        <f>'BACKGROUND Calcs'!D23</f>
        <v>0.15355450236966825</v>
      </c>
      <c r="D27" s="44">
        <f>'BACKGROUND Calcs'!D37</f>
        <v>3.7914691943127965E-2</v>
      </c>
      <c r="F27" s="69" t="s">
        <v>49</v>
      </c>
      <c r="G27" s="62">
        <f>'BACKGROUND Calcs'!D50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9" ht="15.55" customHeight="1" thickTop="1" thickBot="1" x14ac:dyDescent="0.35">
      <c r="A28" s="78" t="s">
        <v>133</v>
      </c>
      <c r="B28" s="76"/>
      <c r="D28" s="77"/>
      <c r="F28" s="78" t="s">
        <v>132</v>
      </c>
      <c r="G28" s="79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9" ht="22.15" customHeight="1" thickTop="1" x14ac:dyDescent="0.3">
      <c r="P29" s="41"/>
      <c r="Q29" s="41"/>
      <c r="R29" s="41"/>
    </row>
  </sheetData>
  <mergeCells count="4">
    <mergeCell ref="P9:R11"/>
    <mergeCell ref="P3:R6"/>
    <mergeCell ref="I14:K28"/>
    <mergeCell ref="M14:R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6AB0-EED5-4299-9CC0-525E89FAB474}">
  <dimension ref="A1:S44"/>
  <sheetViews>
    <sheetView zoomScale="80" zoomScaleNormal="80" workbookViewId="0">
      <selection activeCell="I14" sqref="I14:K28"/>
    </sheetView>
  </sheetViews>
  <sheetFormatPr defaultRowHeight="14.4" x14ac:dyDescent="0.3"/>
  <cols>
    <col min="1" max="1" width="28.19921875" bestFit="1" customWidth="1"/>
    <col min="2" max="2" width="7.19921875" style="14" bestFit="1" customWidth="1"/>
    <col min="3" max="3" width="2.296875" customWidth="1"/>
    <col min="4" max="4" width="5.19921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4.796875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bestFit="1" customWidth="1"/>
    <col min="15" max="15" width="2" customWidth="1"/>
  </cols>
  <sheetData>
    <row r="1" spans="1:19" s="30" customFormat="1" ht="24.4" thickBot="1" x14ac:dyDescent="0.35">
      <c r="A1" s="55" t="s">
        <v>78</v>
      </c>
      <c r="B1" s="63"/>
      <c r="C1" s="63"/>
      <c r="D1" s="63"/>
      <c r="F1" s="55" t="s">
        <v>110</v>
      </c>
      <c r="G1" s="55"/>
      <c r="M1" s="55" t="s">
        <v>111</v>
      </c>
      <c r="N1" s="55"/>
      <c r="Q1" s="41"/>
      <c r="R1" s="41"/>
    </row>
    <row r="2" spans="1:19" ht="7.75" customHeight="1" thickTop="1" thickBot="1" x14ac:dyDescent="0.35">
      <c r="B2"/>
      <c r="D2"/>
      <c r="G2"/>
      <c r="H2"/>
      <c r="N2"/>
    </row>
    <row r="3" spans="1:19" ht="24.95" thickTop="1" thickBot="1" x14ac:dyDescent="0.35">
      <c r="B3" s="53" t="s">
        <v>75</v>
      </c>
      <c r="C3" s="32"/>
      <c r="D3" s="33" t="s">
        <v>47</v>
      </c>
      <c r="E3" s="30"/>
      <c r="F3" s="30"/>
      <c r="G3" s="31" t="s">
        <v>48</v>
      </c>
      <c r="H3" s="52"/>
      <c r="I3" s="30"/>
      <c r="J3" s="31" t="s">
        <v>32</v>
      </c>
      <c r="K3" s="31" t="s">
        <v>33</v>
      </c>
      <c r="L3" s="30"/>
      <c r="M3" s="30"/>
      <c r="N3" s="34" t="s">
        <v>30</v>
      </c>
      <c r="P3" s="142" t="s">
        <v>84</v>
      </c>
      <c r="Q3" s="116"/>
      <c r="R3" s="117"/>
    </row>
    <row r="4" spans="1:19" ht="15.55" thickTop="1" thickBot="1" x14ac:dyDescent="0.35">
      <c r="A4" s="8" t="s">
        <v>9</v>
      </c>
      <c r="B4" s="18">
        <f>'BACKGROUND Calcs'!D24</f>
        <v>13</v>
      </c>
      <c r="D4" s="21">
        <f>'BACKGROUND Calcs'!D38</f>
        <v>13</v>
      </c>
      <c r="F4" s="8" t="s">
        <v>9</v>
      </c>
      <c r="G4" s="26">
        <f>'BACKGROUND Calcs'!D51</f>
        <v>17</v>
      </c>
      <c r="I4" s="7" t="s">
        <v>9</v>
      </c>
      <c r="J4" s="42">
        <f>'BACKGROUND Calcs'!D54</f>
        <v>18</v>
      </c>
      <c r="K4" s="42">
        <f>'BACKGROUND Calcs'!D57</f>
        <v>18</v>
      </c>
      <c r="M4" s="7" t="s">
        <v>9</v>
      </c>
      <c r="N4" s="47">
        <f>'BACKGROUND Calcs'!D60</f>
        <v>18</v>
      </c>
      <c r="P4" s="118"/>
      <c r="Q4" s="119"/>
      <c r="R4" s="120"/>
    </row>
    <row r="5" spans="1:19" ht="8.35" customHeight="1" thickTop="1" thickBot="1" x14ac:dyDescent="0.35">
      <c r="B5" s="16"/>
      <c r="D5"/>
      <c r="G5"/>
      <c r="H5"/>
      <c r="N5"/>
      <c r="P5" s="118"/>
      <c r="Q5" s="119"/>
      <c r="R5" s="120"/>
    </row>
    <row r="6" spans="1:19" ht="15.55" thickTop="1" thickBot="1" x14ac:dyDescent="0.35">
      <c r="A6" s="5" t="s">
        <v>103</v>
      </c>
      <c r="B6" s="50"/>
      <c r="D6" s="22"/>
      <c r="F6" s="5" t="s">
        <v>103</v>
      </c>
      <c r="G6" s="23"/>
      <c r="I6" s="1" t="s">
        <v>143</v>
      </c>
      <c r="J6" s="43">
        <f>SUM(IF($B$9="sh",$B$10,0),(IF($D$9="sh",$D$10,0)),(IF(G9="sh",G10,0)))</f>
        <v>0</v>
      </c>
      <c r="K6" s="43">
        <f>SUM(IF($B$9="cd",$B$10,0),(IF($D$9="cd",$D$10,0)),(IF(G9="CD",G10,0)))</f>
        <v>0</v>
      </c>
      <c r="M6" s="1" t="s">
        <v>126</v>
      </c>
      <c r="N6" s="47">
        <f>SUM(IF(B9="SH",B10,IF(B9="CD",B10,0)),IF(D9="SH",D10,IF(D9="CD",D10,0)),IF(G9="Global",G10,0))</f>
        <v>0</v>
      </c>
      <c r="P6" s="121"/>
      <c r="Q6" s="122"/>
      <c r="R6" s="123"/>
    </row>
    <row r="7" spans="1:19" ht="15.55" thickTop="1" thickBot="1" x14ac:dyDescent="0.35">
      <c r="A7" s="5" t="s">
        <v>104</v>
      </c>
      <c r="B7" s="20"/>
      <c r="D7" s="22"/>
      <c r="F7" s="5" t="s">
        <v>104</v>
      </c>
      <c r="G7" s="23"/>
      <c r="I7" s="1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</row>
    <row r="8" spans="1:19" ht="6.1" customHeight="1" thickTop="1" thickBot="1" x14ac:dyDescent="0.35">
      <c r="B8"/>
      <c r="D8"/>
      <c r="G8"/>
    </row>
    <row r="9" spans="1:19" ht="15.55" customHeight="1" thickTop="1" thickBot="1" x14ac:dyDescent="0.35">
      <c r="A9" s="1" t="s">
        <v>108</v>
      </c>
      <c r="B9" s="20"/>
      <c r="D9" s="22"/>
      <c r="F9" s="1" t="s">
        <v>108</v>
      </c>
      <c r="G9" s="24"/>
      <c r="I9" s="8" t="s">
        <v>102</v>
      </c>
      <c r="J9" s="42"/>
      <c r="K9" s="42"/>
      <c r="M9" s="8" t="s">
        <v>114</v>
      </c>
      <c r="N9" s="47"/>
      <c r="P9" s="115" t="s">
        <v>87</v>
      </c>
      <c r="Q9" s="143"/>
      <c r="R9" s="144"/>
    </row>
    <row r="10" spans="1:19" ht="15.55" customHeight="1" thickTop="1" thickBot="1" x14ac:dyDescent="0.35">
      <c r="A10" s="1" t="s">
        <v>124</v>
      </c>
      <c r="B10" s="20"/>
      <c r="D10" s="22"/>
      <c r="F10" s="1" t="s">
        <v>124</v>
      </c>
      <c r="G10" s="23"/>
      <c r="I10" s="8" t="s">
        <v>114</v>
      </c>
      <c r="J10" s="43"/>
      <c r="K10" s="43"/>
      <c r="M10" s="8"/>
      <c r="N10" s="47"/>
      <c r="P10" s="145"/>
      <c r="Q10" s="146"/>
      <c r="R10" s="147"/>
    </row>
    <row r="11" spans="1:19" ht="15.55" customHeight="1" thickTop="1" thickBot="1" x14ac:dyDescent="0.35">
      <c r="A11" s="1" t="s">
        <v>109</v>
      </c>
      <c r="B11" s="20"/>
      <c r="D11" s="22"/>
      <c r="F11" s="1" t="s">
        <v>109</v>
      </c>
      <c r="G11" s="23"/>
      <c r="I11" s="7" t="s">
        <v>24</v>
      </c>
      <c r="J11" s="42">
        <f>SUM(IF(J6&gt;0,1,0),IF(J9&gt;0,0,-1),J5,J10)</f>
        <v>-1</v>
      </c>
      <c r="K11" s="42">
        <f>SUM(IF(K6&gt;0,1,0),IF(K9&gt;0,0,-1),K5,K10)</f>
        <v>-1</v>
      </c>
      <c r="M11" s="7" t="s">
        <v>24</v>
      </c>
      <c r="N11" s="47">
        <f>IF(B9="SH",0,IF(B9="CD",0,IF(D9="SH",0,IF(D9="CD",0,-1))))</f>
        <v>-1</v>
      </c>
      <c r="P11" s="148"/>
      <c r="Q11" s="149"/>
      <c r="R11" s="150"/>
    </row>
    <row r="12" spans="1:19" ht="14.95" customHeight="1" thickTop="1" thickBot="1" x14ac:dyDescent="0.35">
      <c r="A12" s="69" t="s">
        <v>140</v>
      </c>
      <c r="B12" s="67"/>
      <c r="D12" s="51"/>
      <c r="F12" s="69" t="s">
        <v>140</v>
      </c>
      <c r="G12" s="61"/>
      <c r="I12" s="7" t="s">
        <v>10</v>
      </c>
      <c r="J12" s="42" t="str">
        <f>IF('BACKGROUND Calcs'!$E$54&lt;10,"Weak",IF('BACKGROUND Calcs'!$E$54&gt;16,"Good","Normal"))</f>
        <v>Good</v>
      </c>
      <c r="K12" s="42" t="str">
        <f>IF('BACKGROUND Calcs'!$E$57&lt;10,"Weak",IF('BACKGROUND Calcs'!$E$57&gt;16,"Good","Normal"))</f>
        <v>Good</v>
      </c>
      <c r="M12" s="7" t="s">
        <v>10</v>
      </c>
      <c r="N12" s="48">
        <f>MAX(0,MIN(25,N4+SUM(N11)))</f>
        <v>17</v>
      </c>
      <c r="O12" s="41"/>
      <c r="P12" s="41"/>
      <c r="Q12" s="41"/>
      <c r="R12" s="41"/>
      <c r="S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5"/>
      <c r="I13" s="41"/>
      <c r="J13" s="85"/>
      <c r="K13" s="41"/>
      <c r="L13" s="41"/>
      <c r="M13" s="41"/>
      <c r="N13" s="41"/>
      <c r="O13" s="41"/>
      <c r="P13" s="41"/>
      <c r="Q13" s="41"/>
      <c r="R13" s="41"/>
      <c r="S13" s="41"/>
    </row>
    <row r="14" spans="1:19" ht="15.55" customHeight="1" thickTop="1" thickBot="1" x14ac:dyDescent="0.35">
      <c r="B14" s="17"/>
      <c r="I14" s="124" t="s">
        <v>147</v>
      </c>
      <c r="J14" s="125"/>
      <c r="K14" s="126"/>
      <c r="L14" s="41"/>
      <c r="M14" s="133" t="s">
        <v>146</v>
      </c>
      <c r="N14" s="134"/>
      <c r="O14" s="134"/>
      <c r="P14" s="134"/>
      <c r="Q14" s="134"/>
      <c r="R14" s="135"/>
      <c r="S14" s="41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4"/>
      <c r="I15" s="127"/>
      <c r="J15" s="128"/>
      <c r="K15" s="129"/>
      <c r="L15" s="41"/>
      <c r="M15" s="136"/>
      <c r="N15" s="137"/>
      <c r="O15" s="137"/>
      <c r="P15" s="137"/>
      <c r="Q15" s="137"/>
      <c r="R15" s="138"/>
      <c r="S15" s="41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8"/>
      <c r="I16" s="127"/>
      <c r="J16" s="128"/>
      <c r="K16" s="129"/>
      <c r="L16" s="41"/>
      <c r="M16" s="136"/>
      <c r="N16" s="137"/>
      <c r="O16" s="137"/>
      <c r="P16" s="137"/>
      <c r="Q16" s="137"/>
      <c r="R16" s="138"/>
      <c r="S16" s="41"/>
    </row>
    <row r="17" spans="1:19" ht="15.55" customHeight="1" thickTop="1" thickBot="1" x14ac:dyDescent="0.35">
      <c r="A17" s="6" t="s">
        <v>113</v>
      </c>
      <c r="B17" s="20"/>
      <c r="D17" s="22"/>
      <c r="F17" s="6" t="s">
        <v>113</v>
      </c>
      <c r="G17" s="25"/>
      <c r="I17" s="127"/>
      <c r="J17" s="128"/>
      <c r="K17" s="129"/>
      <c r="L17" s="41"/>
      <c r="M17" s="136"/>
      <c r="N17" s="137"/>
      <c r="O17" s="137"/>
      <c r="P17" s="137"/>
      <c r="Q17" s="137"/>
      <c r="R17" s="138"/>
      <c r="S17" s="41"/>
    </row>
    <row r="18" spans="1:19" ht="15.55" customHeight="1" thickTop="1" thickBot="1" x14ac:dyDescent="0.35">
      <c r="A18" s="6" t="s">
        <v>122</v>
      </c>
      <c r="B18" s="20"/>
      <c r="D18" s="22"/>
      <c r="F18" s="6" t="s">
        <v>122</v>
      </c>
      <c r="G18" s="24"/>
      <c r="I18" s="127"/>
      <c r="J18" s="128"/>
      <c r="K18" s="129"/>
      <c r="L18" s="41"/>
      <c r="M18" s="136"/>
      <c r="N18" s="137"/>
      <c r="O18" s="137"/>
      <c r="P18" s="137"/>
      <c r="Q18" s="137"/>
      <c r="R18" s="138"/>
      <c r="S18" s="41"/>
    </row>
    <row r="19" spans="1:19" ht="15.55" customHeight="1" thickTop="1" thickBot="1" x14ac:dyDescent="0.35">
      <c r="I19" s="127"/>
      <c r="J19" s="128"/>
      <c r="K19" s="129"/>
      <c r="L19" s="41"/>
      <c r="M19" s="136"/>
      <c r="N19" s="137"/>
      <c r="O19" s="137"/>
      <c r="P19" s="137"/>
      <c r="Q19" s="137"/>
      <c r="R19" s="138"/>
      <c r="S19" s="41"/>
    </row>
    <row r="20" spans="1:19" ht="15.55" customHeight="1" thickTop="1" thickBot="1" x14ac:dyDescent="0.35">
      <c r="A20" s="8" t="s">
        <v>121</v>
      </c>
      <c r="B20" s="20"/>
      <c r="D20" s="22"/>
      <c r="F20" s="8" t="s">
        <v>121</v>
      </c>
      <c r="G20" s="24"/>
      <c r="I20" s="127"/>
      <c r="J20" s="128"/>
      <c r="K20" s="129"/>
      <c r="L20" s="41"/>
      <c r="M20" s="136"/>
      <c r="N20" s="137"/>
      <c r="O20" s="137"/>
      <c r="P20" s="137"/>
      <c r="Q20" s="137"/>
      <c r="R20" s="138"/>
      <c r="S20" s="41"/>
    </row>
    <row r="21" spans="1:19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  <c r="S21" s="41"/>
    </row>
    <row r="22" spans="1:19" ht="18.850000000000001" customHeight="1" thickTop="1" thickBot="1" x14ac:dyDescent="0.35">
      <c r="A22" s="7" t="s">
        <v>10</v>
      </c>
      <c r="B22" s="73" t="str">
        <f>IF('BACKGROUND Calcs'!$E$24&lt;10,"Weak",IF('BACKGROUND Calcs'!$E$24&gt;16,"Good","Normal"))</f>
        <v>Normal</v>
      </c>
      <c r="C22" s="46"/>
      <c r="D22" s="73" t="str">
        <f>IF('BACKGROUND Calcs'!$E$38&lt;10,"Weak",IF('BACKGROUND Calcs'!$E$38&gt;16,"Good","Normal"))</f>
        <v>Normal</v>
      </c>
      <c r="F22" s="7" t="s">
        <v>10</v>
      </c>
      <c r="G22" s="26" t="str">
        <f>IF('BACKGROUND Calcs'!$E$51&lt;10,"Weak",IF('BACKGROUND Calcs'!$E$51&gt;16,"Good","Normal"))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  <c r="S22" s="41"/>
    </row>
    <row r="23" spans="1:19" ht="14.4" customHeight="1" thickTop="1" thickBot="1" x14ac:dyDescent="0.35">
      <c r="B23" s="17"/>
      <c r="I23" s="127"/>
      <c r="J23" s="128"/>
      <c r="K23" s="129"/>
      <c r="L23" s="41"/>
      <c r="M23" s="136"/>
      <c r="N23" s="137"/>
      <c r="O23" s="137"/>
      <c r="P23" s="137"/>
      <c r="Q23" s="137"/>
      <c r="R23" s="138"/>
      <c r="S23" s="41"/>
    </row>
    <row r="24" spans="1:19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  <c r="S24" s="41"/>
    </row>
    <row r="25" spans="1:19" ht="14.4" customHeight="1" thickTop="1" thickBot="1" x14ac:dyDescent="0.35">
      <c r="A25" s="69" t="s">
        <v>35</v>
      </c>
      <c r="B25" s="67">
        <f>'BACKGROUND Calcs'!E19+B12*IF(B9="Global",0,B10)+B24</f>
        <v>0</v>
      </c>
      <c r="D25" s="51">
        <f>'BACKGROUND Calcs'!E33+D12*IF(D9="Global",0,D10)+D24</f>
        <v>0</v>
      </c>
      <c r="F25" s="69" t="s">
        <v>35</v>
      </c>
      <c r="G25" s="75">
        <f>'BACKGROUND Calcs'!E47+G12*IF(G9="Global",0,G10)+G24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  <c r="S25" s="41"/>
    </row>
    <row r="26" spans="1:19" ht="14.95" customHeight="1" thickTop="1" thickBot="1" x14ac:dyDescent="0.35">
      <c r="A26" s="69" t="s">
        <v>41</v>
      </c>
      <c r="B26" s="45">
        <v>0</v>
      </c>
      <c r="D26" s="44">
        <f>'BACKGROUND Calcs'!E36</f>
        <v>9.6491228070175433E-2</v>
      </c>
      <c r="F26" s="69" t="s">
        <v>41</v>
      </c>
      <c r="G26" s="62">
        <f>'BACKGROUND Calcs'!E49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  <c r="S26" s="41"/>
    </row>
    <row r="27" spans="1:19" ht="15.55" customHeight="1" thickTop="1" thickBot="1" x14ac:dyDescent="0.35">
      <c r="A27" s="69" t="s">
        <v>49</v>
      </c>
      <c r="B27" s="45">
        <f>'BACKGROUND Calcs'!E23</f>
        <v>0.15140186915887849</v>
      </c>
      <c r="D27" s="44">
        <f>'BACKGROUND Calcs'!E37</f>
        <v>3.7383177570093455E-2</v>
      </c>
      <c r="F27" s="69" t="s">
        <v>49</v>
      </c>
      <c r="G27" s="62">
        <f>'BACKGROUND Calcs'!E50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9" ht="15.55" customHeight="1" thickTop="1" thickBot="1" x14ac:dyDescent="0.35">
      <c r="A28" s="78" t="s">
        <v>133</v>
      </c>
      <c r="B28" s="76"/>
      <c r="D28" s="77"/>
      <c r="F28" s="78" t="s">
        <v>132</v>
      </c>
      <c r="G28" s="79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9" ht="22.15" customHeight="1" thickTop="1" x14ac:dyDescent="0.3"/>
    <row r="30" spans="1:19" x14ac:dyDescent="0.3">
      <c r="N30"/>
    </row>
    <row r="31" spans="1:19" x14ac:dyDescent="0.3">
      <c r="N31"/>
    </row>
    <row r="32" spans="1:19" x14ac:dyDescent="0.3">
      <c r="N32"/>
    </row>
    <row r="33" spans="9:18" x14ac:dyDescent="0.3">
      <c r="N33"/>
    </row>
    <row r="34" spans="9:18" x14ac:dyDescent="0.3">
      <c r="N34"/>
    </row>
    <row r="35" spans="9:18" x14ac:dyDescent="0.3">
      <c r="N35"/>
      <c r="P35" s="105"/>
      <c r="Q35" s="105"/>
      <c r="R35" s="105"/>
    </row>
    <row r="36" spans="9:18" x14ac:dyDescent="0.3">
      <c r="N36"/>
      <c r="P36" s="105"/>
      <c r="Q36" s="105"/>
      <c r="R36" s="105"/>
    </row>
    <row r="37" spans="9:18" x14ac:dyDescent="0.3">
      <c r="N37"/>
      <c r="P37" s="105"/>
      <c r="Q37" s="105"/>
      <c r="R37" s="105"/>
    </row>
    <row r="38" spans="9:18" x14ac:dyDescent="0.3">
      <c r="N38"/>
      <c r="P38" s="105"/>
      <c r="Q38" s="105"/>
      <c r="R38" s="105"/>
    </row>
    <row r="39" spans="9:18" x14ac:dyDescent="0.3">
      <c r="I39" t="s">
        <v>0</v>
      </c>
      <c r="K39" t="s">
        <v>0</v>
      </c>
      <c r="N39"/>
    </row>
    <row r="40" spans="9:18" x14ac:dyDescent="0.3">
      <c r="N40"/>
      <c r="P40" s="105"/>
      <c r="Q40" s="105"/>
      <c r="R40" s="105"/>
    </row>
    <row r="41" spans="9:18" x14ac:dyDescent="0.3">
      <c r="N41"/>
      <c r="P41" s="105"/>
      <c r="Q41" s="105"/>
      <c r="R41" s="105"/>
    </row>
    <row r="42" spans="9:18" x14ac:dyDescent="0.3">
      <c r="I42" s="41"/>
      <c r="J42" s="41"/>
      <c r="K42" s="41"/>
      <c r="L42" s="41"/>
      <c r="M42" s="41"/>
      <c r="N42"/>
      <c r="P42" s="105"/>
      <c r="Q42" s="105"/>
      <c r="R42" s="105"/>
    </row>
    <row r="43" spans="9:18" x14ac:dyDescent="0.3">
      <c r="N43"/>
    </row>
    <row r="44" spans="9:18" x14ac:dyDescent="0.3">
      <c r="N44"/>
    </row>
  </sheetData>
  <mergeCells count="6">
    <mergeCell ref="P3:R6"/>
    <mergeCell ref="P9:R11"/>
    <mergeCell ref="P35:R38"/>
    <mergeCell ref="P40:R42"/>
    <mergeCell ref="I14:K28"/>
    <mergeCell ref="M14:R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28A7-C1F9-4115-B5E7-045943311BF8}">
  <dimension ref="A1:S41"/>
  <sheetViews>
    <sheetView zoomScale="80" zoomScaleNormal="80" workbookViewId="0">
      <selection activeCell="N10" sqref="M10:N10"/>
    </sheetView>
  </sheetViews>
  <sheetFormatPr defaultRowHeight="14.4" x14ac:dyDescent="0.3"/>
  <cols>
    <col min="1" max="1" width="28.19921875" bestFit="1" customWidth="1"/>
    <col min="2" max="2" width="7.19921875" style="14" bestFit="1" customWidth="1"/>
    <col min="3" max="3" width="2.296875" customWidth="1"/>
    <col min="4" max="4" width="5.19921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4.796875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bestFit="1" customWidth="1"/>
    <col min="15" max="15" width="2.69921875" customWidth="1"/>
  </cols>
  <sheetData>
    <row r="1" spans="1:19" s="30" customFormat="1" ht="24.4" thickBot="1" x14ac:dyDescent="0.35">
      <c r="A1" s="55" t="s">
        <v>79</v>
      </c>
      <c r="B1" s="63"/>
      <c r="C1" s="63"/>
      <c r="D1" s="63"/>
      <c r="F1" s="55" t="s">
        <v>110</v>
      </c>
      <c r="G1" s="55"/>
      <c r="M1" s="55" t="s">
        <v>111</v>
      </c>
      <c r="N1" s="55"/>
      <c r="Q1" s="41"/>
      <c r="R1" s="41"/>
    </row>
    <row r="2" spans="1:19" ht="7.2" customHeight="1" thickTop="1" thickBot="1" x14ac:dyDescent="0.35">
      <c r="B2"/>
      <c r="D2"/>
      <c r="G2"/>
      <c r="H2"/>
      <c r="N2"/>
    </row>
    <row r="3" spans="1:19" ht="24.95" thickTop="1" thickBot="1" x14ac:dyDescent="0.35">
      <c r="B3" s="53" t="s">
        <v>75</v>
      </c>
      <c r="C3" s="32"/>
      <c r="D3" s="33" t="s">
        <v>47</v>
      </c>
      <c r="E3" s="30"/>
      <c r="F3" s="30"/>
      <c r="G3" s="31" t="s">
        <v>48</v>
      </c>
      <c r="H3" s="52"/>
      <c r="I3" s="30"/>
      <c r="J3" s="31" t="s">
        <v>32</v>
      </c>
      <c r="K3" s="31" t="s">
        <v>33</v>
      </c>
      <c r="L3" s="30"/>
      <c r="M3" s="30"/>
      <c r="N3" s="34" t="s">
        <v>30</v>
      </c>
      <c r="P3" s="142" t="s">
        <v>86</v>
      </c>
      <c r="Q3" s="143"/>
      <c r="R3" s="144"/>
    </row>
    <row r="4" spans="1:19" ht="15.55" thickTop="1" thickBot="1" x14ac:dyDescent="0.35">
      <c r="A4" s="8" t="s">
        <v>9</v>
      </c>
      <c r="B4" s="18">
        <f>'BACKGROUND Calcs'!E24</f>
        <v>12</v>
      </c>
      <c r="D4" s="21">
        <f>'BACKGROUND Calcs'!E38</f>
        <v>12</v>
      </c>
      <c r="F4" s="8" t="s">
        <v>9</v>
      </c>
      <c r="G4" s="26">
        <f>'BACKGROUND Calcs'!E51</f>
        <v>17</v>
      </c>
      <c r="I4" s="7" t="s">
        <v>9</v>
      </c>
      <c r="J4" s="42">
        <f>'BACKGROUND Calcs'!E54</f>
        <v>17</v>
      </c>
      <c r="K4" s="42">
        <f>'BACKGROUND Calcs'!E57</f>
        <v>17</v>
      </c>
      <c r="M4" s="7" t="s">
        <v>9</v>
      </c>
      <c r="N4" s="47">
        <f>'BACKGROUND Calcs'!E60</f>
        <v>17</v>
      </c>
      <c r="P4" s="145"/>
      <c r="Q4" s="146"/>
      <c r="R4" s="147"/>
    </row>
    <row r="5" spans="1:19" ht="7.2" customHeight="1" thickTop="1" thickBot="1" x14ac:dyDescent="0.35">
      <c r="B5" s="16"/>
      <c r="D5"/>
      <c r="G5"/>
      <c r="P5" s="145"/>
      <c r="Q5" s="146"/>
      <c r="R5" s="147"/>
    </row>
    <row r="6" spans="1:19" ht="15.55" thickTop="1" thickBot="1" x14ac:dyDescent="0.35">
      <c r="A6" s="5" t="s">
        <v>103</v>
      </c>
      <c r="B6" s="19"/>
      <c r="D6" s="22"/>
      <c r="F6" s="5" t="s">
        <v>103</v>
      </c>
      <c r="G6" s="23"/>
      <c r="I6" s="1" t="s">
        <v>143</v>
      </c>
      <c r="J6" s="43">
        <f>SUM(IF($B$9="sh",$B$10,0),(IF($D$9="sh",$D$10,0)),(IF(G9="sh",G10,0)))</f>
        <v>0</v>
      </c>
      <c r="K6" s="43">
        <f>SUM(IF($B$9="cd",$B$10,0),(IF($D$9="cd",$D$10,0)),(IF(G9="CD",G10,0)))</f>
        <v>0</v>
      </c>
      <c r="M6" s="1" t="s">
        <v>126</v>
      </c>
      <c r="N6" s="47">
        <f>SUM(IF(B9="SH",B10,IF(B9="CD",B10,0)),IF(D9="SH",D10,IF(D9="CD",D10,0)),IF(G9="Global",G10,0))</f>
        <v>0</v>
      </c>
      <c r="P6" s="148"/>
      <c r="Q6" s="149"/>
      <c r="R6" s="150"/>
    </row>
    <row r="7" spans="1:19" ht="15.55" thickTop="1" thickBot="1" x14ac:dyDescent="0.35">
      <c r="A7" s="5" t="s">
        <v>104</v>
      </c>
      <c r="B7" s="20"/>
      <c r="D7" s="22"/>
      <c r="F7" s="5" t="s">
        <v>104</v>
      </c>
      <c r="G7" s="23"/>
      <c r="I7" s="1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</row>
    <row r="8" spans="1:19" ht="6.1" customHeight="1" thickTop="1" thickBot="1" x14ac:dyDescent="0.35">
      <c r="B8"/>
      <c r="D8"/>
      <c r="G8"/>
    </row>
    <row r="9" spans="1:19" ht="15.55" thickTop="1" thickBot="1" x14ac:dyDescent="0.35">
      <c r="A9" s="1" t="s">
        <v>108</v>
      </c>
      <c r="B9" s="20"/>
      <c r="D9" s="22"/>
      <c r="F9" s="1" t="s">
        <v>108</v>
      </c>
      <c r="G9" s="23"/>
      <c r="I9" s="8" t="s">
        <v>102</v>
      </c>
      <c r="J9" s="42"/>
      <c r="K9" s="42"/>
      <c r="M9" s="8" t="s">
        <v>114</v>
      </c>
      <c r="N9" s="47"/>
      <c r="P9" s="151" t="s">
        <v>85</v>
      </c>
      <c r="Q9" s="116"/>
      <c r="R9" s="117"/>
    </row>
    <row r="10" spans="1:19" ht="15.55" thickTop="1" thickBot="1" x14ac:dyDescent="0.35">
      <c r="A10" s="1" t="s">
        <v>124</v>
      </c>
      <c r="B10" s="20"/>
      <c r="D10" s="22"/>
      <c r="F10" s="1" t="s">
        <v>124</v>
      </c>
      <c r="G10" s="23"/>
      <c r="I10" s="8" t="s">
        <v>114</v>
      </c>
      <c r="J10" s="43"/>
      <c r="K10" s="43"/>
      <c r="M10" s="8"/>
      <c r="N10" s="47"/>
      <c r="P10" s="118"/>
      <c r="Q10" s="119"/>
      <c r="R10" s="120"/>
    </row>
    <row r="11" spans="1:19" ht="15.55" thickTop="1" thickBot="1" x14ac:dyDescent="0.35">
      <c r="A11" s="1" t="s">
        <v>109</v>
      </c>
      <c r="B11" s="20"/>
      <c r="D11" s="22"/>
      <c r="F11" s="1" t="s">
        <v>109</v>
      </c>
      <c r="G11" s="23"/>
      <c r="I11" s="7" t="s">
        <v>24</v>
      </c>
      <c r="J11" s="42">
        <f>SUM(IF(J6&gt;0,1,0),IF(J9&gt;0,0,-1),J5,J10)</f>
        <v>-1</v>
      </c>
      <c r="K11" s="42">
        <f>SUM(IF(K6&gt;0,1,0),IF(K9&gt;0,0,-1),K10)</f>
        <v>-1</v>
      </c>
      <c r="M11" s="7" t="s">
        <v>24</v>
      </c>
      <c r="N11" s="47">
        <f>IF(B9="SH",0,IF(B9="CD",0,IF(D9="SH",0,IF(D9="CD",0,-1))))</f>
        <v>-1</v>
      </c>
      <c r="P11" s="121"/>
      <c r="Q11" s="122"/>
      <c r="R11" s="123"/>
    </row>
    <row r="12" spans="1:19" ht="14.95" customHeight="1" thickTop="1" thickBot="1" x14ac:dyDescent="0.35">
      <c r="A12" s="69" t="s">
        <v>140</v>
      </c>
      <c r="B12" s="67"/>
      <c r="D12" s="51"/>
      <c r="F12" s="69" t="s">
        <v>140</v>
      </c>
      <c r="G12" s="61"/>
      <c r="I12" s="7" t="s">
        <v>10</v>
      </c>
      <c r="J12" s="42" t="str">
        <f>IF('BACKGROUND Calcs'!$F$54&lt;10,"Weak",IF('BACKGROUND Calcs'!$F$54&gt;16,"Good","Normal"))</f>
        <v>Normal</v>
      </c>
      <c r="K12" s="42" t="str">
        <f>IF('BACKGROUND Calcs'!$F$57&lt;10,"Weak",IF('BACKGROUND Calcs'!$F$57&gt;16,"Good","Normal"))</f>
        <v>Normal</v>
      </c>
      <c r="M12" s="7" t="s">
        <v>10</v>
      </c>
      <c r="N12" s="48">
        <f>MAX(0,MIN(25,N4+SUM(N11)))</f>
        <v>16</v>
      </c>
      <c r="S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5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19" ht="15.55" customHeight="1" thickTop="1" thickBot="1" x14ac:dyDescent="0.35">
      <c r="B14" s="17"/>
      <c r="I14" s="124" t="s">
        <v>147</v>
      </c>
      <c r="J14" s="125"/>
      <c r="K14" s="126"/>
      <c r="L14" s="41"/>
      <c r="M14" s="133" t="s">
        <v>146</v>
      </c>
      <c r="N14" s="134"/>
      <c r="O14" s="134"/>
      <c r="P14" s="134"/>
      <c r="Q14" s="134"/>
      <c r="R14" s="135"/>
      <c r="S14" s="41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4"/>
      <c r="I15" s="127"/>
      <c r="J15" s="128"/>
      <c r="K15" s="129"/>
      <c r="L15" s="41"/>
      <c r="M15" s="136"/>
      <c r="N15" s="137"/>
      <c r="O15" s="137"/>
      <c r="P15" s="137"/>
      <c r="Q15" s="137"/>
      <c r="R15" s="138"/>
      <c r="S15" s="41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8"/>
      <c r="I16" s="127"/>
      <c r="J16" s="128"/>
      <c r="K16" s="129"/>
      <c r="L16" s="41"/>
      <c r="M16" s="136"/>
      <c r="N16" s="137"/>
      <c r="O16" s="137"/>
      <c r="P16" s="137"/>
      <c r="Q16" s="137"/>
      <c r="R16" s="138"/>
      <c r="S16" s="41"/>
    </row>
    <row r="17" spans="1:19" ht="15.55" customHeight="1" thickTop="1" thickBot="1" x14ac:dyDescent="0.35">
      <c r="A17" s="6" t="s">
        <v>113</v>
      </c>
      <c r="B17" s="20"/>
      <c r="D17" s="22"/>
      <c r="F17" s="6" t="s">
        <v>113</v>
      </c>
      <c r="G17" s="25"/>
      <c r="I17" s="127"/>
      <c r="J17" s="128"/>
      <c r="K17" s="129"/>
      <c r="L17" s="41"/>
      <c r="M17" s="136"/>
      <c r="N17" s="137"/>
      <c r="O17" s="137"/>
      <c r="P17" s="137"/>
      <c r="Q17" s="137"/>
      <c r="R17" s="138"/>
      <c r="S17" s="41"/>
    </row>
    <row r="18" spans="1:19" ht="15.55" customHeight="1" thickTop="1" thickBot="1" x14ac:dyDescent="0.35">
      <c r="A18" s="6" t="s">
        <v>122</v>
      </c>
      <c r="B18" s="20"/>
      <c r="D18" s="22"/>
      <c r="F18" s="6" t="s">
        <v>122</v>
      </c>
      <c r="G18" s="24"/>
      <c r="I18" s="127"/>
      <c r="J18" s="128"/>
      <c r="K18" s="129"/>
      <c r="L18" s="41"/>
      <c r="M18" s="136"/>
      <c r="N18" s="137"/>
      <c r="O18" s="137"/>
      <c r="P18" s="137"/>
      <c r="Q18" s="137"/>
      <c r="R18" s="138"/>
      <c r="S18" s="41"/>
    </row>
    <row r="19" spans="1:19" ht="15.55" customHeight="1" thickTop="1" thickBot="1" x14ac:dyDescent="0.35">
      <c r="I19" s="127"/>
      <c r="J19" s="128"/>
      <c r="K19" s="129"/>
      <c r="L19" s="41"/>
      <c r="M19" s="136"/>
      <c r="N19" s="137"/>
      <c r="O19" s="137"/>
      <c r="P19" s="137"/>
      <c r="Q19" s="137"/>
      <c r="R19" s="138"/>
      <c r="S19" s="41"/>
    </row>
    <row r="20" spans="1:19" ht="15.55" customHeight="1" thickTop="1" thickBot="1" x14ac:dyDescent="0.35">
      <c r="A20" s="8" t="s">
        <v>121</v>
      </c>
      <c r="B20" s="20"/>
      <c r="D20" s="22"/>
      <c r="F20" s="8" t="s">
        <v>121</v>
      </c>
      <c r="G20" s="24"/>
      <c r="I20" s="127"/>
      <c r="J20" s="128"/>
      <c r="K20" s="129"/>
      <c r="L20" s="41"/>
      <c r="M20" s="136"/>
      <c r="N20" s="137"/>
      <c r="O20" s="137"/>
      <c r="P20" s="137"/>
      <c r="Q20" s="137"/>
      <c r="R20" s="138"/>
      <c r="S20" s="41"/>
    </row>
    <row r="21" spans="1:19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  <c r="S21" s="41"/>
    </row>
    <row r="22" spans="1:19" ht="14.95" customHeight="1" thickTop="1" thickBot="1" x14ac:dyDescent="0.35">
      <c r="A22" s="7" t="s">
        <v>10</v>
      </c>
      <c r="B22" s="73" t="str">
        <f>IF('BACKGROUND Calcs'!$F$24&lt;10,"Weak",IF('BACKGROUND Calcs'!$F$24&gt;16,"Good","Normal"))</f>
        <v>Normal</v>
      </c>
      <c r="C22" s="46"/>
      <c r="D22" s="73" t="str">
        <f>IF('BACKGROUND Calcs'!$F$38&lt;10,"Weak",IF('BACKGROUND Calcs'!$F$38&gt;16,"Good","Normal"))</f>
        <v>Normal</v>
      </c>
      <c r="F22" s="7" t="s">
        <v>10</v>
      </c>
      <c r="G22" s="26" t="str">
        <f>IF('BACKGROUND Calcs'!$F$51&lt;10,"Weak",IF('BACKGROUND Calcs'!$F$51&gt;16,"Good","Normal"))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  <c r="S22" s="41"/>
    </row>
    <row r="23" spans="1:19" ht="14.4" customHeight="1" thickTop="1" thickBot="1" x14ac:dyDescent="0.35">
      <c r="B23" s="17"/>
      <c r="I23" s="127"/>
      <c r="J23" s="128"/>
      <c r="K23" s="129"/>
      <c r="L23" s="41"/>
      <c r="M23" s="136"/>
      <c r="N23" s="137"/>
      <c r="O23" s="137"/>
      <c r="P23" s="137"/>
      <c r="Q23" s="137"/>
      <c r="R23" s="138"/>
      <c r="S23" s="41"/>
    </row>
    <row r="24" spans="1:19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  <c r="S24" s="41"/>
    </row>
    <row r="25" spans="1:19" ht="14.4" customHeight="1" thickTop="1" thickBot="1" x14ac:dyDescent="0.35">
      <c r="A25" s="69" t="s">
        <v>35</v>
      </c>
      <c r="B25" s="67">
        <f>'BACKGROUND Calcs'!F19+B12*IF(B9="Global",0,B10)+B24</f>
        <v>0</v>
      </c>
      <c r="D25" s="51">
        <f>'BACKGROUND Calcs'!F33+D12*IF(D9="Global",0,D10)+D24</f>
        <v>0</v>
      </c>
      <c r="F25" s="69" t="s">
        <v>35</v>
      </c>
      <c r="G25" s="75">
        <f>'BACKGROUND Calcs'!F47+G12*IF(G9="Global",0,G10)+G24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  <c r="S25" s="41"/>
    </row>
    <row r="26" spans="1:19" ht="14.95" customHeight="1" thickTop="1" thickBot="1" x14ac:dyDescent="0.35">
      <c r="A26" s="69" t="s">
        <v>41</v>
      </c>
      <c r="B26" s="45">
        <v>0</v>
      </c>
      <c r="D26" s="44">
        <f>'BACKGROUND Calcs'!F36</f>
        <v>9.3617021276595741E-2</v>
      </c>
      <c r="F26" s="69" t="s">
        <v>41</v>
      </c>
      <c r="G26" s="62">
        <f>'BACKGROUND Calcs'!F49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  <c r="S26" s="41"/>
    </row>
    <row r="27" spans="1:19" ht="15.55" customHeight="1" thickTop="1" thickBot="1" x14ac:dyDescent="0.35">
      <c r="A27" s="69" t="s">
        <v>49</v>
      </c>
      <c r="B27" s="45">
        <f>'BACKGROUND Calcs'!F23</f>
        <v>0.14930875576036864</v>
      </c>
      <c r="D27" s="44">
        <f>'BACKGROUND Calcs'!F37</f>
        <v>3.6866359447004608E-2</v>
      </c>
      <c r="F27" s="69" t="s">
        <v>49</v>
      </c>
      <c r="G27" s="62">
        <f>'BACKGROUND Calcs'!F50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9" ht="15.55" customHeight="1" thickTop="1" thickBot="1" x14ac:dyDescent="0.35">
      <c r="A28" s="78" t="s">
        <v>133</v>
      </c>
      <c r="B28" s="76"/>
      <c r="D28" s="77"/>
      <c r="F28" s="78" t="s">
        <v>132</v>
      </c>
      <c r="G28" s="79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9" ht="22.15" customHeight="1" thickTop="1" x14ac:dyDescent="0.3"/>
    <row r="31" spans="1:19" x14ac:dyDescent="0.3">
      <c r="N31"/>
    </row>
    <row r="32" spans="1:19" x14ac:dyDescent="0.3">
      <c r="N32"/>
    </row>
    <row r="33" spans="9:18" ht="15.55" customHeight="1" x14ac:dyDescent="0.3">
      <c r="N33"/>
    </row>
    <row r="34" spans="9:18" ht="15.55" customHeight="1" x14ac:dyDescent="0.3">
      <c r="N34"/>
    </row>
    <row r="35" spans="9:18" ht="15.55" customHeight="1" x14ac:dyDescent="0.3">
      <c r="N35"/>
    </row>
    <row r="36" spans="9:18" ht="15.55" customHeight="1" x14ac:dyDescent="0.3">
      <c r="N36"/>
    </row>
    <row r="37" spans="9:18" x14ac:dyDescent="0.3">
      <c r="N37"/>
      <c r="P37" s="41"/>
      <c r="Q37" s="41"/>
      <c r="R37" s="41"/>
    </row>
    <row r="38" spans="9:18" ht="14.95" customHeight="1" x14ac:dyDescent="0.3">
      <c r="N38"/>
    </row>
    <row r="39" spans="9:18" ht="15.55" customHeight="1" x14ac:dyDescent="0.3">
      <c r="N39"/>
    </row>
    <row r="40" spans="9:18" ht="15.55" customHeight="1" x14ac:dyDescent="0.3"/>
    <row r="41" spans="9:18" x14ac:dyDescent="0.3">
      <c r="I41" s="41"/>
      <c r="J41" s="41"/>
      <c r="K41" s="41"/>
      <c r="L41" s="41"/>
      <c r="M41" s="41"/>
      <c r="N41" s="41"/>
      <c r="O41" s="41"/>
      <c r="P41" s="41"/>
      <c r="Q41" s="41"/>
      <c r="R41" s="41"/>
    </row>
  </sheetData>
  <mergeCells count="4">
    <mergeCell ref="P3:R6"/>
    <mergeCell ref="P9:R11"/>
    <mergeCell ref="I14:K28"/>
    <mergeCell ref="M14:R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D935-E211-44A4-86E5-2ACFAF9CC014}">
  <dimension ref="A1:S36"/>
  <sheetViews>
    <sheetView zoomScale="80" zoomScaleNormal="80" workbookViewId="0">
      <selection activeCell="N10" sqref="M10:N10"/>
    </sheetView>
  </sheetViews>
  <sheetFormatPr defaultRowHeight="14.4" x14ac:dyDescent="0.3"/>
  <cols>
    <col min="1" max="1" width="28.19921875" bestFit="1" customWidth="1"/>
    <col min="2" max="2" width="7.19921875" style="14" bestFit="1" customWidth="1"/>
    <col min="3" max="3" width="2.296875" customWidth="1"/>
    <col min="4" max="4" width="5.19921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4.796875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bestFit="1" customWidth="1"/>
    <col min="15" max="15" width="2.296875" customWidth="1"/>
  </cols>
  <sheetData>
    <row r="1" spans="1:19" s="30" customFormat="1" ht="24.4" thickBot="1" x14ac:dyDescent="0.35">
      <c r="A1" s="55" t="s">
        <v>80</v>
      </c>
      <c r="B1" s="63"/>
      <c r="C1" s="63"/>
      <c r="D1" s="63"/>
      <c r="F1" s="55" t="s">
        <v>110</v>
      </c>
      <c r="G1" s="55"/>
      <c r="M1" s="55" t="s">
        <v>111</v>
      </c>
      <c r="N1" s="55"/>
      <c r="Q1" s="41"/>
      <c r="R1" s="41"/>
    </row>
    <row r="2" spans="1:19" ht="7.75" customHeight="1" thickTop="1" thickBot="1" x14ac:dyDescent="0.35">
      <c r="B2"/>
      <c r="D2"/>
      <c r="G2"/>
      <c r="H2"/>
      <c r="N2"/>
    </row>
    <row r="3" spans="1:19" ht="24.95" thickTop="1" thickBot="1" x14ac:dyDescent="0.35">
      <c r="B3" s="53" t="s">
        <v>75</v>
      </c>
      <c r="C3" s="32"/>
      <c r="D3" s="33" t="s">
        <v>47</v>
      </c>
      <c r="E3" s="30"/>
      <c r="F3" s="30"/>
      <c r="G3" s="31" t="s">
        <v>48</v>
      </c>
      <c r="H3" s="52"/>
      <c r="I3" s="30"/>
      <c r="J3" s="31" t="s">
        <v>32</v>
      </c>
      <c r="K3" s="31" t="s">
        <v>33</v>
      </c>
      <c r="L3" s="30"/>
      <c r="M3" s="30"/>
      <c r="N3" s="34" t="s">
        <v>30</v>
      </c>
      <c r="P3" s="142" t="s">
        <v>84</v>
      </c>
      <c r="Q3" s="143"/>
      <c r="R3" s="144"/>
    </row>
    <row r="4" spans="1:19" ht="15.55" customHeight="1" thickTop="1" thickBot="1" x14ac:dyDescent="0.35">
      <c r="A4" s="8" t="s">
        <v>9</v>
      </c>
      <c r="B4" s="18">
        <f>'BACKGROUND Calcs'!F24</f>
        <v>11</v>
      </c>
      <c r="D4" s="21">
        <f>'BACKGROUND Calcs'!F38</f>
        <v>11</v>
      </c>
      <c r="F4" s="8" t="s">
        <v>9</v>
      </c>
      <c r="G4" s="26">
        <f>'BACKGROUND Calcs'!F51</f>
        <v>17</v>
      </c>
      <c r="I4" s="7" t="s">
        <v>9</v>
      </c>
      <c r="J4" s="42">
        <f>'BACKGROUND Calcs'!F54</f>
        <v>16</v>
      </c>
      <c r="K4" s="42">
        <f>'BACKGROUND Calcs'!F57</f>
        <v>16</v>
      </c>
      <c r="M4" s="7" t="s">
        <v>9</v>
      </c>
      <c r="N4" s="47">
        <f>'BACKGROUND Calcs'!F60</f>
        <v>16</v>
      </c>
      <c r="P4" s="145"/>
      <c r="Q4" s="146"/>
      <c r="R4" s="147"/>
    </row>
    <row r="5" spans="1:19" ht="6.65" customHeight="1" thickTop="1" thickBot="1" x14ac:dyDescent="0.35">
      <c r="B5" s="16"/>
      <c r="D5"/>
      <c r="G5"/>
      <c r="P5" s="145"/>
      <c r="Q5" s="146"/>
      <c r="R5" s="147"/>
    </row>
    <row r="6" spans="1:19" ht="15.55" thickTop="1" thickBot="1" x14ac:dyDescent="0.35">
      <c r="A6" s="5" t="s">
        <v>103</v>
      </c>
      <c r="B6" s="19"/>
      <c r="D6" s="22"/>
      <c r="F6" s="5" t="s">
        <v>103</v>
      </c>
      <c r="G6" s="23"/>
      <c r="I6" s="1" t="s">
        <v>143</v>
      </c>
      <c r="J6" s="43">
        <f>SUM(IF($B$9="sh",$B$10,0),(IF($D$9="sh",$D$10,0)),(IF(G9="sh",G10,0)))</f>
        <v>0</v>
      </c>
      <c r="K6" s="43">
        <f>SUM(IF($B$9="cd",$B$10,0),(IF($D$9="cd",$D$10,0)),(IF(G9="CD",G10,0)))</f>
        <v>0</v>
      </c>
      <c r="M6" s="1" t="s">
        <v>126</v>
      </c>
      <c r="N6" s="47">
        <f>SUM(IF(B9="SH",B10,IF(B9="CD",B10,0)),IF(D9="SH",D10,IF(D9="CD",D10,0)),IF(G9="Global",G10,0))</f>
        <v>0</v>
      </c>
      <c r="P6" s="148"/>
      <c r="Q6" s="149"/>
      <c r="R6" s="150"/>
    </row>
    <row r="7" spans="1:19" ht="15.55" thickTop="1" thickBot="1" x14ac:dyDescent="0.35">
      <c r="A7" s="5" t="s">
        <v>104</v>
      </c>
      <c r="B7" s="20"/>
      <c r="D7" s="22"/>
      <c r="F7" s="5" t="s">
        <v>104</v>
      </c>
      <c r="G7" s="23"/>
      <c r="I7" s="1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</row>
    <row r="8" spans="1:19" ht="6.1" customHeight="1" thickTop="1" thickBot="1" x14ac:dyDescent="0.35">
      <c r="B8"/>
      <c r="D8"/>
      <c r="G8"/>
      <c r="I8" t="s">
        <v>0</v>
      </c>
      <c r="K8" t="s">
        <v>0</v>
      </c>
    </row>
    <row r="9" spans="1:19" ht="15.55" thickTop="1" thickBot="1" x14ac:dyDescent="0.35">
      <c r="A9" s="1" t="s">
        <v>108</v>
      </c>
      <c r="B9" s="20"/>
      <c r="D9" s="22"/>
      <c r="F9" s="1" t="s">
        <v>108</v>
      </c>
      <c r="G9" s="23"/>
      <c r="I9" s="8" t="s">
        <v>102</v>
      </c>
      <c r="J9" s="42"/>
      <c r="K9" s="42"/>
      <c r="M9" s="8" t="s">
        <v>114</v>
      </c>
      <c r="N9" s="47"/>
      <c r="P9" s="115" t="s">
        <v>88</v>
      </c>
      <c r="Q9" s="143"/>
      <c r="R9" s="144"/>
    </row>
    <row r="10" spans="1:19" ht="15.55" thickTop="1" thickBot="1" x14ac:dyDescent="0.35">
      <c r="A10" s="1" t="s">
        <v>124</v>
      </c>
      <c r="B10" s="20"/>
      <c r="D10" s="22"/>
      <c r="F10" s="1" t="s">
        <v>124</v>
      </c>
      <c r="G10" s="23"/>
      <c r="I10" s="8" t="s">
        <v>114</v>
      </c>
      <c r="J10" s="43"/>
      <c r="K10" s="43"/>
      <c r="M10" s="8"/>
      <c r="N10" s="47"/>
      <c r="P10" s="145"/>
      <c r="Q10" s="146"/>
      <c r="R10" s="147"/>
    </row>
    <row r="11" spans="1:19" ht="15.55" thickTop="1" thickBot="1" x14ac:dyDescent="0.35">
      <c r="A11" s="1" t="s">
        <v>109</v>
      </c>
      <c r="B11" s="20"/>
      <c r="D11" s="22"/>
      <c r="F11" s="1" t="s">
        <v>109</v>
      </c>
      <c r="G11" s="23"/>
      <c r="I11" s="7" t="s">
        <v>24</v>
      </c>
      <c r="J11" s="42">
        <f>SUM(IF(J6&gt;0,1,0),IF(J9&gt;0,0,-1),J5,J10)</f>
        <v>-1</v>
      </c>
      <c r="K11" s="42">
        <f>SUM(IF(K6&gt;0,1,0),IF(K9&gt;0,0,-1),K10)</f>
        <v>-1</v>
      </c>
      <c r="M11" s="7" t="s">
        <v>24</v>
      </c>
      <c r="N11" s="47">
        <f>IF(B9="SH",0,IF(B9="CD",0,IF(D9="SH",0,IF(D9="CD",0,-1))))</f>
        <v>-1</v>
      </c>
      <c r="P11" s="148"/>
      <c r="Q11" s="149"/>
      <c r="R11" s="150"/>
    </row>
    <row r="12" spans="1:19" ht="14.95" customHeight="1" thickTop="1" thickBot="1" x14ac:dyDescent="0.35">
      <c r="A12" s="69" t="s">
        <v>140</v>
      </c>
      <c r="B12" s="67"/>
      <c r="D12" s="51"/>
      <c r="F12" s="69" t="s">
        <v>140</v>
      </c>
      <c r="G12" s="61"/>
      <c r="I12" s="7" t="s">
        <v>10</v>
      </c>
      <c r="J12" s="42" t="str">
        <f>IF('BACKGROUND Calcs'!$G$54&lt;10,"Weak",IF('BACKGROUND Calcs'!$G$54&gt;16,"Good","Normal"))</f>
        <v>Normal</v>
      </c>
      <c r="K12" s="42" t="str">
        <f>IF('BACKGROUND Calcs'!$G$57&lt;10,"Weak",IF('BACKGROUND Calcs'!$G$57&gt;16,"Good","Normal"))</f>
        <v>Normal</v>
      </c>
      <c r="M12" s="7" t="s">
        <v>10</v>
      </c>
      <c r="N12" s="48">
        <f>MAX(0,MIN(25,N4+SUM(N11)))</f>
        <v>15</v>
      </c>
      <c r="O12" s="41"/>
      <c r="P12" s="41"/>
      <c r="Q12" s="41"/>
      <c r="R12" s="41"/>
      <c r="S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5"/>
      <c r="O13" s="41"/>
      <c r="P13" s="41"/>
      <c r="Q13" s="41"/>
      <c r="R13" s="41"/>
      <c r="S13" s="41"/>
    </row>
    <row r="14" spans="1:19" ht="15.55" customHeight="1" thickTop="1" thickBot="1" x14ac:dyDescent="0.35">
      <c r="B14" s="17"/>
      <c r="I14" s="124" t="s">
        <v>147</v>
      </c>
      <c r="J14" s="125"/>
      <c r="K14" s="126"/>
      <c r="L14" s="41"/>
      <c r="M14" s="133" t="s">
        <v>146</v>
      </c>
      <c r="N14" s="134"/>
      <c r="O14" s="134"/>
      <c r="P14" s="134"/>
      <c r="Q14" s="134"/>
      <c r="R14" s="135"/>
      <c r="S14" s="41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4"/>
      <c r="I15" s="127"/>
      <c r="J15" s="128"/>
      <c r="K15" s="129"/>
      <c r="L15" s="41"/>
      <c r="M15" s="136"/>
      <c r="N15" s="137"/>
      <c r="O15" s="137"/>
      <c r="P15" s="137"/>
      <c r="Q15" s="137"/>
      <c r="R15" s="138"/>
      <c r="S15" s="41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8"/>
      <c r="I16" s="127"/>
      <c r="J16" s="128"/>
      <c r="K16" s="129"/>
      <c r="L16" s="41"/>
      <c r="M16" s="136"/>
      <c r="N16" s="137"/>
      <c r="O16" s="137"/>
      <c r="P16" s="137"/>
      <c r="Q16" s="137"/>
      <c r="R16" s="138"/>
      <c r="S16" s="41"/>
    </row>
    <row r="17" spans="1:19" ht="15.55" customHeight="1" thickTop="1" thickBot="1" x14ac:dyDescent="0.35">
      <c r="A17" s="6" t="s">
        <v>113</v>
      </c>
      <c r="B17" s="20"/>
      <c r="D17" s="22"/>
      <c r="F17" s="6" t="s">
        <v>113</v>
      </c>
      <c r="G17" s="25"/>
      <c r="I17" s="127"/>
      <c r="J17" s="128"/>
      <c r="K17" s="129"/>
      <c r="L17" s="41"/>
      <c r="M17" s="136"/>
      <c r="N17" s="137"/>
      <c r="O17" s="137"/>
      <c r="P17" s="137"/>
      <c r="Q17" s="137"/>
      <c r="R17" s="138"/>
      <c r="S17" s="41"/>
    </row>
    <row r="18" spans="1:19" ht="15.55" customHeight="1" thickTop="1" thickBot="1" x14ac:dyDescent="0.35">
      <c r="A18" s="6" t="s">
        <v>122</v>
      </c>
      <c r="B18" s="20"/>
      <c r="D18" s="22"/>
      <c r="F18" s="6" t="s">
        <v>122</v>
      </c>
      <c r="G18" s="24"/>
      <c r="I18" s="127"/>
      <c r="J18" s="128"/>
      <c r="K18" s="129"/>
      <c r="L18" s="41"/>
      <c r="M18" s="136"/>
      <c r="N18" s="137"/>
      <c r="O18" s="137"/>
      <c r="P18" s="137"/>
      <c r="Q18" s="137"/>
      <c r="R18" s="138"/>
      <c r="S18" s="41"/>
    </row>
    <row r="19" spans="1:19" ht="15.55" customHeight="1" thickTop="1" thickBot="1" x14ac:dyDescent="0.35">
      <c r="I19" s="127"/>
      <c r="J19" s="128"/>
      <c r="K19" s="129"/>
      <c r="L19" s="41"/>
      <c r="M19" s="136"/>
      <c r="N19" s="137"/>
      <c r="O19" s="137"/>
      <c r="P19" s="137"/>
      <c r="Q19" s="137"/>
      <c r="R19" s="138"/>
      <c r="S19" s="41"/>
    </row>
    <row r="20" spans="1:19" ht="15.55" customHeight="1" thickTop="1" thickBot="1" x14ac:dyDescent="0.35">
      <c r="A20" s="8" t="s">
        <v>121</v>
      </c>
      <c r="B20" s="20"/>
      <c r="D20" s="22"/>
      <c r="F20" s="8" t="s">
        <v>121</v>
      </c>
      <c r="G20" s="24"/>
      <c r="I20" s="127"/>
      <c r="J20" s="128"/>
      <c r="K20" s="129"/>
      <c r="L20" s="41"/>
      <c r="M20" s="136"/>
      <c r="N20" s="137"/>
      <c r="O20" s="137"/>
      <c r="P20" s="137"/>
      <c r="Q20" s="137"/>
      <c r="R20" s="138"/>
      <c r="S20" s="41"/>
    </row>
    <row r="21" spans="1:19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  <c r="S21" s="41"/>
    </row>
    <row r="22" spans="1:19" ht="18.850000000000001" customHeight="1" thickTop="1" thickBot="1" x14ac:dyDescent="0.35">
      <c r="A22" s="7" t="s">
        <v>10</v>
      </c>
      <c r="B22" s="73" t="str">
        <f>IF('BACKGROUND Calcs'!$G$24&lt;10,"Weak",IF('BACKGROUND Calcs'!$G$24&gt;16,"Good","Normal"))</f>
        <v>Normal</v>
      </c>
      <c r="C22" s="46"/>
      <c r="D22" s="73" t="str">
        <f>IF('BACKGROUND Calcs'!$G$38&lt;10,"Weak",IF('BACKGROUND Calcs'!$G$38&gt;16,"Good","Normal"))</f>
        <v>Normal</v>
      </c>
      <c r="F22" s="7" t="s">
        <v>10</v>
      </c>
      <c r="G22" s="26" t="str">
        <f>IF('BACKGROUND Calcs'!$G$51&lt;10,"Weak",IF('BACKGROUND Calcs'!$G$51&gt;16,"Good","Normal"))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  <c r="S22" s="41"/>
    </row>
    <row r="23" spans="1:19" ht="14.4" customHeight="1" thickTop="1" thickBot="1" x14ac:dyDescent="0.35">
      <c r="B23" s="17"/>
      <c r="I23" s="127"/>
      <c r="J23" s="128"/>
      <c r="K23" s="129"/>
      <c r="L23" s="41"/>
      <c r="M23" s="136"/>
      <c r="N23" s="137"/>
      <c r="O23" s="137"/>
      <c r="P23" s="137"/>
      <c r="Q23" s="137"/>
      <c r="R23" s="138"/>
      <c r="S23" s="41"/>
    </row>
    <row r="24" spans="1:19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  <c r="S24" s="41"/>
    </row>
    <row r="25" spans="1:19" ht="14.4" customHeight="1" thickTop="1" thickBot="1" x14ac:dyDescent="0.35">
      <c r="A25" s="69" t="s">
        <v>35</v>
      </c>
      <c r="B25" s="67">
        <f>'BACKGROUND Calcs'!G19+B12*IF(B9="Global",0,B10)+B24</f>
        <v>0</v>
      </c>
      <c r="D25" s="51">
        <f>'BACKGROUND Calcs'!G33+D12*IF(D9="Global",0,D10)+D24</f>
        <v>0</v>
      </c>
      <c r="F25" s="69" t="s">
        <v>35</v>
      </c>
      <c r="G25" s="75">
        <f>'BACKGROUND Calcs'!G47+G12*IF(G9="Global",0,G10)+G24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  <c r="S25" s="41"/>
    </row>
    <row r="26" spans="1:19" ht="14.95" customHeight="1" thickTop="1" thickBot="1" x14ac:dyDescent="0.35">
      <c r="A26" s="69" t="s">
        <v>41</v>
      </c>
      <c r="B26" s="45">
        <v>0</v>
      </c>
      <c r="D26" s="44">
        <f>'BACKGROUND Calcs'!G36</f>
        <v>9.0909090909090912E-2</v>
      </c>
      <c r="F26" s="69" t="s">
        <v>41</v>
      </c>
      <c r="G26" s="62">
        <f>'BACKGROUND Calcs'!G49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  <c r="S26" s="41"/>
    </row>
    <row r="27" spans="1:19" ht="15.55" customHeight="1" thickTop="1" thickBot="1" x14ac:dyDescent="0.35">
      <c r="A27" s="69" t="s">
        <v>49</v>
      </c>
      <c r="B27" s="45">
        <f>'BACKGROUND Calcs'!G23</f>
        <v>0.14727272727272728</v>
      </c>
      <c r="D27" s="44">
        <f>'BACKGROUND Calcs'!G37</f>
        <v>3.6363636363636362E-2</v>
      </c>
      <c r="F27" s="69" t="s">
        <v>49</v>
      </c>
      <c r="G27" s="62">
        <f>'BACKGROUND Calcs'!G50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9" ht="15.55" customHeight="1" thickTop="1" thickBot="1" x14ac:dyDescent="0.35">
      <c r="A28" s="78" t="s">
        <v>133</v>
      </c>
      <c r="B28" s="76"/>
      <c r="D28" s="77"/>
      <c r="F28" s="78" t="s">
        <v>132</v>
      </c>
      <c r="G28" s="79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9" ht="22.15" customHeight="1" thickTop="1" x14ac:dyDescent="0.3"/>
    <row r="36" spans="16:18" x14ac:dyDescent="0.3">
      <c r="P36" s="41"/>
      <c r="Q36" s="41"/>
      <c r="R36" s="41"/>
    </row>
  </sheetData>
  <mergeCells count="4">
    <mergeCell ref="P9:R11"/>
    <mergeCell ref="P3:R6"/>
    <mergeCell ref="M14:R28"/>
    <mergeCell ref="I14:K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BEA51-3F23-460F-8901-60E4436002DA}">
  <dimension ref="A1:S35"/>
  <sheetViews>
    <sheetView zoomScale="80" zoomScaleNormal="80" workbookViewId="0">
      <selection activeCell="N10" sqref="M10:N10"/>
    </sheetView>
  </sheetViews>
  <sheetFormatPr defaultRowHeight="14.4" x14ac:dyDescent="0.3"/>
  <cols>
    <col min="1" max="1" width="28.19921875" bestFit="1" customWidth="1"/>
    <col min="2" max="2" width="7.19921875" style="14" bestFit="1" customWidth="1"/>
    <col min="3" max="3" width="2.296875" customWidth="1"/>
    <col min="4" max="4" width="5.19921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4.796875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bestFit="1" customWidth="1"/>
    <col min="15" max="15" width="2" customWidth="1"/>
  </cols>
  <sheetData>
    <row r="1" spans="1:19" s="30" customFormat="1" ht="24.4" thickBot="1" x14ac:dyDescent="0.35">
      <c r="A1" s="55" t="s">
        <v>81</v>
      </c>
      <c r="B1" s="63"/>
      <c r="C1" s="63"/>
      <c r="D1" s="63"/>
      <c r="F1" s="55" t="s">
        <v>110</v>
      </c>
      <c r="G1" s="55"/>
      <c r="M1" s="55" t="s">
        <v>111</v>
      </c>
      <c r="N1" s="55"/>
      <c r="Q1" s="41"/>
      <c r="R1" s="41"/>
    </row>
    <row r="2" spans="1:19" s="30" customFormat="1" ht="6.65" customHeight="1" thickTop="1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s="30" customFormat="1" ht="24.95" thickTop="1" thickBot="1" x14ac:dyDescent="0.35">
      <c r="A3"/>
      <c r="B3" s="53" t="s">
        <v>75</v>
      </c>
      <c r="C3" s="32"/>
      <c r="D3" s="33" t="s">
        <v>47</v>
      </c>
      <c r="G3" s="31" t="s">
        <v>48</v>
      </c>
      <c r="H3" s="52"/>
      <c r="J3" s="31" t="s">
        <v>32</v>
      </c>
      <c r="K3" s="31" t="s">
        <v>33</v>
      </c>
      <c r="N3" s="34" t="s">
        <v>30</v>
      </c>
      <c r="P3" s="142" t="s">
        <v>84</v>
      </c>
      <c r="Q3" s="116"/>
      <c r="R3" s="117"/>
    </row>
    <row r="4" spans="1:19" ht="15.55" thickTop="1" thickBot="1" x14ac:dyDescent="0.35">
      <c r="A4" s="8" t="s">
        <v>9</v>
      </c>
      <c r="B4" s="18">
        <f>'BACKGROUND Calcs'!G24</f>
        <v>10</v>
      </c>
      <c r="D4" s="21">
        <f>'BACKGROUND Calcs'!G38</f>
        <v>10</v>
      </c>
      <c r="F4" s="8" t="s">
        <v>9</v>
      </c>
      <c r="G4" s="26">
        <f>'BACKGROUND Calcs'!G51</f>
        <v>17</v>
      </c>
      <c r="I4" s="7" t="s">
        <v>9</v>
      </c>
      <c r="J4" s="42">
        <f>'BACKGROUND Calcs'!G54</f>
        <v>15</v>
      </c>
      <c r="K4" s="42">
        <f>'BACKGROUND Calcs'!G57</f>
        <v>15</v>
      </c>
      <c r="M4" s="7" t="s">
        <v>9</v>
      </c>
      <c r="N4" s="47">
        <f>'BACKGROUND Calcs'!G60</f>
        <v>15</v>
      </c>
      <c r="P4" s="118"/>
      <c r="Q4" s="119"/>
      <c r="R4" s="120"/>
    </row>
    <row r="5" spans="1:19" ht="5.55" customHeight="1" thickTop="1" thickBot="1" x14ac:dyDescent="0.35">
      <c r="B5" s="16"/>
      <c r="D5"/>
      <c r="G5"/>
      <c r="P5" s="118"/>
      <c r="Q5" s="119"/>
      <c r="R5" s="120"/>
    </row>
    <row r="6" spans="1:19" ht="15.55" thickTop="1" thickBot="1" x14ac:dyDescent="0.35">
      <c r="A6" s="5" t="s">
        <v>103</v>
      </c>
      <c r="B6" s="19"/>
      <c r="D6" s="22"/>
      <c r="F6" s="5" t="s">
        <v>103</v>
      </c>
      <c r="G6" s="23"/>
      <c r="I6" s="1" t="s">
        <v>143</v>
      </c>
      <c r="J6" s="43">
        <f>SUM(IF($B$9="sh",$B$10,0),(IF($D$9="sh",$D$10,0)),(IF(G9="sh",G10,0)))</f>
        <v>0</v>
      </c>
      <c r="K6" s="43">
        <f>SUM(IF($B$9="cd",$B$10,0),(IF($D$9="cd",$D$10,0)),(IF(G9="CD",G10,0)))</f>
        <v>0</v>
      </c>
      <c r="M6" s="1" t="s">
        <v>126</v>
      </c>
      <c r="N6" s="47">
        <f>SUM(IF(B9="SH",B10,IF(B9="CD",B10,0)),IF(D9="SH",D10,IF(D9="CD",D10,0)),IF(G9="Global",G10,0))</f>
        <v>0</v>
      </c>
      <c r="P6" s="121"/>
      <c r="Q6" s="122"/>
      <c r="R6" s="123"/>
    </row>
    <row r="7" spans="1:19" ht="16.100000000000001" customHeight="1" thickTop="1" thickBot="1" x14ac:dyDescent="0.35">
      <c r="A7" s="5" t="s">
        <v>104</v>
      </c>
      <c r="B7" s="20"/>
      <c r="D7" s="22"/>
      <c r="F7" s="5" t="s">
        <v>104</v>
      </c>
      <c r="G7" s="23"/>
      <c r="I7" s="1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</row>
    <row r="8" spans="1:19" ht="6.1" customHeight="1" thickTop="1" thickBot="1" x14ac:dyDescent="0.35">
      <c r="B8"/>
      <c r="D8"/>
      <c r="G8"/>
      <c r="I8" t="s">
        <v>0</v>
      </c>
      <c r="K8" t="s">
        <v>0</v>
      </c>
    </row>
    <row r="9" spans="1:19" ht="15.55" thickTop="1" thickBot="1" x14ac:dyDescent="0.35">
      <c r="A9" s="1" t="s">
        <v>108</v>
      </c>
      <c r="B9" s="20"/>
      <c r="D9" s="22"/>
      <c r="F9" s="1" t="s">
        <v>108</v>
      </c>
      <c r="G9" s="23"/>
      <c r="I9" s="8" t="s">
        <v>102</v>
      </c>
      <c r="J9" s="42"/>
      <c r="K9" s="42"/>
      <c r="M9" s="8" t="s">
        <v>114</v>
      </c>
      <c r="N9" s="47"/>
      <c r="P9" s="115" t="s">
        <v>89</v>
      </c>
      <c r="Q9" s="143"/>
      <c r="R9" s="144"/>
    </row>
    <row r="10" spans="1:19" ht="15.55" thickTop="1" thickBot="1" x14ac:dyDescent="0.35">
      <c r="A10" s="1" t="s">
        <v>124</v>
      </c>
      <c r="B10" s="20"/>
      <c r="D10" s="22"/>
      <c r="F10" s="1" t="s">
        <v>124</v>
      </c>
      <c r="G10" s="23"/>
      <c r="I10" s="8" t="s">
        <v>114</v>
      </c>
      <c r="J10" s="43"/>
      <c r="K10" s="43"/>
      <c r="M10" s="8"/>
      <c r="N10" s="47"/>
      <c r="P10" s="145"/>
      <c r="Q10" s="146"/>
      <c r="R10" s="147"/>
    </row>
    <row r="11" spans="1:19" ht="15.55" thickTop="1" thickBot="1" x14ac:dyDescent="0.35">
      <c r="A11" s="1" t="s">
        <v>109</v>
      </c>
      <c r="B11" s="20"/>
      <c r="D11" s="22"/>
      <c r="F11" s="1" t="s">
        <v>109</v>
      </c>
      <c r="G11" s="23"/>
      <c r="I11" s="7" t="s">
        <v>24</v>
      </c>
      <c r="J11" s="42">
        <f>SUM(IF(J6&gt;0,1,0),IF(J9&gt;0,0,-1),J5,J10)</f>
        <v>-1</v>
      </c>
      <c r="K11" s="42">
        <f>SUM(IF(K6&gt;0,1,0),IF(K9&gt;0,0,-1),K10)</f>
        <v>-1</v>
      </c>
      <c r="M11" s="7" t="s">
        <v>24</v>
      </c>
      <c r="N11" s="47">
        <f>IF(B9="SH",0,IF(B9="CD",0,IF(D9="SH",0,IF(D9="CD",0,-1))))</f>
        <v>-1</v>
      </c>
      <c r="P11" s="148"/>
      <c r="Q11" s="149"/>
      <c r="R11" s="150"/>
    </row>
    <row r="12" spans="1:19" ht="14.95" customHeight="1" thickTop="1" thickBot="1" x14ac:dyDescent="0.35">
      <c r="A12" s="69" t="s">
        <v>140</v>
      </c>
      <c r="B12" s="67"/>
      <c r="D12" s="51"/>
      <c r="F12" s="69" t="s">
        <v>140</v>
      </c>
      <c r="G12" s="61"/>
      <c r="I12" s="7" t="s">
        <v>10</v>
      </c>
      <c r="J12" s="42" t="str">
        <f>IF('BACKGROUND Calcs'!$H$54&lt;10,"Weak",IF('BACKGROUND Calcs'!$H$54&gt;16,"Good","Normal"))</f>
        <v>Normal</v>
      </c>
      <c r="K12" s="42" t="str">
        <f>IF('BACKGROUND Calcs'!$H$57&lt;10,"Weak",IF('BACKGROUND Calcs'!$H$57&gt;16,"Good","Normal"))</f>
        <v>Normal</v>
      </c>
      <c r="M12" s="7" t="s">
        <v>10</v>
      </c>
      <c r="N12" s="48">
        <f>MAX(0,MIN(25,N4+SUM(N11)))</f>
        <v>14</v>
      </c>
      <c r="O12" s="41"/>
      <c r="P12" s="41"/>
      <c r="Q12" s="41"/>
      <c r="R12" s="41"/>
      <c r="S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5"/>
      <c r="O13" s="41"/>
      <c r="P13" s="41"/>
      <c r="Q13" s="41"/>
      <c r="R13" s="41"/>
      <c r="S13" s="41"/>
    </row>
    <row r="14" spans="1:19" ht="15.55" customHeight="1" thickTop="1" thickBot="1" x14ac:dyDescent="0.35">
      <c r="B14" s="17"/>
      <c r="I14" s="124" t="s">
        <v>147</v>
      </c>
      <c r="J14" s="125"/>
      <c r="K14" s="126"/>
      <c r="L14" s="41"/>
      <c r="M14" s="133" t="s">
        <v>146</v>
      </c>
      <c r="N14" s="134"/>
      <c r="O14" s="134"/>
      <c r="P14" s="134"/>
      <c r="Q14" s="134"/>
      <c r="R14" s="135"/>
      <c r="S14" s="41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4"/>
      <c r="I15" s="127"/>
      <c r="J15" s="128"/>
      <c r="K15" s="129"/>
      <c r="L15" s="41"/>
      <c r="M15" s="136"/>
      <c r="N15" s="137"/>
      <c r="O15" s="137"/>
      <c r="P15" s="137"/>
      <c r="Q15" s="137"/>
      <c r="R15" s="138"/>
      <c r="S15" s="41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8"/>
      <c r="I16" s="127"/>
      <c r="J16" s="128"/>
      <c r="K16" s="129"/>
      <c r="L16" s="41"/>
      <c r="M16" s="136"/>
      <c r="N16" s="137"/>
      <c r="O16" s="137"/>
      <c r="P16" s="137"/>
      <c r="Q16" s="137"/>
      <c r="R16" s="138"/>
      <c r="S16" s="41"/>
    </row>
    <row r="17" spans="1:19" ht="15.55" customHeight="1" thickTop="1" thickBot="1" x14ac:dyDescent="0.35">
      <c r="A17" s="6" t="s">
        <v>113</v>
      </c>
      <c r="B17" s="20"/>
      <c r="D17" s="22"/>
      <c r="F17" s="6" t="s">
        <v>113</v>
      </c>
      <c r="G17" s="25"/>
      <c r="I17" s="127"/>
      <c r="J17" s="128"/>
      <c r="K17" s="129"/>
      <c r="L17" s="41"/>
      <c r="M17" s="136"/>
      <c r="N17" s="137"/>
      <c r="O17" s="137"/>
      <c r="P17" s="137"/>
      <c r="Q17" s="137"/>
      <c r="R17" s="138"/>
      <c r="S17" s="41"/>
    </row>
    <row r="18" spans="1:19" ht="15.55" customHeight="1" thickTop="1" thickBot="1" x14ac:dyDescent="0.35">
      <c r="A18" s="6" t="s">
        <v>122</v>
      </c>
      <c r="B18" s="20"/>
      <c r="D18" s="22"/>
      <c r="F18" s="6" t="s">
        <v>122</v>
      </c>
      <c r="G18" s="24"/>
      <c r="I18" s="127"/>
      <c r="J18" s="128"/>
      <c r="K18" s="129"/>
      <c r="L18" s="41"/>
      <c r="M18" s="136"/>
      <c r="N18" s="137"/>
      <c r="O18" s="137"/>
      <c r="P18" s="137"/>
      <c r="Q18" s="137"/>
      <c r="R18" s="138"/>
      <c r="S18" s="41"/>
    </row>
    <row r="19" spans="1:19" ht="15.55" customHeight="1" thickTop="1" thickBot="1" x14ac:dyDescent="0.35">
      <c r="I19" s="127"/>
      <c r="J19" s="128"/>
      <c r="K19" s="129"/>
      <c r="L19" s="41"/>
      <c r="M19" s="136"/>
      <c r="N19" s="137"/>
      <c r="O19" s="137"/>
      <c r="P19" s="137"/>
      <c r="Q19" s="137"/>
      <c r="R19" s="138"/>
      <c r="S19" s="41"/>
    </row>
    <row r="20" spans="1:19" ht="15.55" customHeight="1" thickTop="1" thickBot="1" x14ac:dyDescent="0.35">
      <c r="A20" s="8" t="s">
        <v>121</v>
      </c>
      <c r="B20" s="20"/>
      <c r="D20" s="22"/>
      <c r="F20" s="8" t="s">
        <v>121</v>
      </c>
      <c r="G20" s="24"/>
      <c r="I20" s="127"/>
      <c r="J20" s="128"/>
      <c r="K20" s="129"/>
      <c r="L20" s="41"/>
      <c r="M20" s="136"/>
      <c r="N20" s="137"/>
      <c r="O20" s="137"/>
      <c r="P20" s="137"/>
      <c r="Q20" s="137"/>
      <c r="R20" s="138"/>
      <c r="S20" s="41"/>
    </row>
    <row r="21" spans="1:19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  <c r="S21" s="41"/>
    </row>
    <row r="22" spans="1:19" ht="18.850000000000001" customHeight="1" thickTop="1" thickBot="1" x14ac:dyDescent="0.35">
      <c r="A22" s="7" t="s">
        <v>10</v>
      </c>
      <c r="B22" s="73" t="str">
        <f>IF('BACKGROUND Calcs'!$H$24&lt;10,"Weak",IF('BACKGROUND Calcs'!$H$24&gt;16,"Good","Normal"))</f>
        <v>Weak</v>
      </c>
      <c r="C22" s="46"/>
      <c r="D22" s="73" t="str">
        <f>IF('BACKGROUND Calcs'!$H$38&lt;10,"Weak",IF('BACKGROUND Calcs'!$H$38&gt;16,"Good","Normal"))</f>
        <v>Weak</v>
      </c>
      <c r="F22" s="7" t="s">
        <v>10</v>
      </c>
      <c r="G22" s="26" t="str">
        <f>IF('BACKGROUND Calcs'!$H$51&lt;10,"Weak",IF('BACKGROUND Calcs'!$H$51&gt;16,"Good","Normal"))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  <c r="S22" s="41"/>
    </row>
    <row r="23" spans="1:19" ht="14.4" customHeight="1" thickTop="1" thickBot="1" x14ac:dyDescent="0.35">
      <c r="B23" s="17"/>
      <c r="I23" s="127"/>
      <c r="J23" s="128"/>
      <c r="K23" s="129"/>
      <c r="L23" s="41"/>
      <c r="M23" s="136"/>
      <c r="N23" s="137"/>
      <c r="O23" s="137"/>
      <c r="P23" s="137"/>
      <c r="Q23" s="137"/>
      <c r="R23" s="138"/>
      <c r="S23" s="41"/>
    </row>
    <row r="24" spans="1:19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  <c r="S24" s="41"/>
    </row>
    <row r="25" spans="1:19" ht="14.4" customHeight="1" thickTop="1" thickBot="1" x14ac:dyDescent="0.35">
      <c r="A25" s="69" t="s">
        <v>35</v>
      </c>
      <c r="B25" s="67">
        <f>'BACKGROUND Calcs'!H19+B12*IF(B9="Global",0,B10)+B24</f>
        <v>0</v>
      </c>
      <c r="D25" s="51">
        <f>'BACKGROUND Calcs'!H33+D12*IF(D9="Global",0,D10)+D24</f>
        <v>0</v>
      </c>
      <c r="F25" s="69" t="s">
        <v>35</v>
      </c>
      <c r="G25" s="75">
        <f>'BACKGROUND Calcs'!H47+G12*IF(G9="Global",0,G10)+G24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  <c r="S25" s="41"/>
    </row>
    <row r="26" spans="1:19" ht="14.95" customHeight="1" thickTop="1" thickBot="1" x14ac:dyDescent="0.35">
      <c r="A26" s="69" t="s">
        <v>41</v>
      </c>
      <c r="B26" s="45">
        <v>0</v>
      </c>
      <c r="D26" s="44">
        <f>'BACKGROUND Calcs'!H36</f>
        <v>8.8353413654618476E-2</v>
      </c>
      <c r="F26" s="69" t="s">
        <v>41</v>
      </c>
      <c r="G26" s="62">
        <f>'BACKGROUND Calcs'!H49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  <c r="S26" s="41"/>
    </row>
    <row r="27" spans="1:19" ht="15.55" customHeight="1" thickTop="1" thickBot="1" x14ac:dyDescent="0.35">
      <c r="A27" s="69" t="s">
        <v>49</v>
      </c>
      <c r="B27" s="45">
        <f>'BACKGROUND Calcs'!H23</f>
        <v>0.14529147982062779</v>
      </c>
      <c r="D27" s="44">
        <f>'BACKGROUND Calcs'!H37</f>
        <v>3.5874439461883408E-2</v>
      </c>
      <c r="F27" s="69" t="s">
        <v>49</v>
      </c>
      <c r="G27" s="62">
        <f>'BACKGROUND Calcs'!H50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9" ht="15.55" customHeight="1" thickTop="1" thickBot="1" x14ac:dyDescent="0.35">
      <c r="A28" s="78" t="s">
        <v>133</v>
      </c>
      <c r="B28" s="76"/>
      <c r="D28" s="77"/>
      <c r="F28" s="78" t="s">
        <v>132</v>
      </c>
      <c r="G28" s="79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9" ht="22.15" customHeight="1" thickTop="1" x14ac:dyDescent="0.3"/>
    <row r="35" spans="16:18" x14ac:dyDescent="0.3">
      <c r="P35" s="41"/>
      <c r="Q35" s="41"/>
      <c r="R35" s="41"/>
    </row>
  </sheetData>
  <mergeCells count="4">
    <mergeCell ref="P3:R6"/>
    <mergeCell ref="P9:R11"/>
    <mergeCell ref="I14:K28"/>
    <mergeCell ref="M14:R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CB7E-4387-455D-80CE-7E2D117BE113}">
  <dimension ref="A1:S39"/>
  <sheetViews>
    <sheetView zoomScale="80" zoomScaleNormal="80" workbookViewId="0">
      <selection activeCell="M13" sqref="M13"/>
    </sheetView>
  </sheetViews>
  <sheetFormatPr defaultRowHeight="14.4" x14ac:dyDescent="0.3"/>
  <cols>
    <col min="1" max="1" width="28.19921875" bestFit="1" customWidth="1"/>
    <col min="2" max="2" width="7.19921875" style="14" bestFit="1" customWidth="1"/>
    <col min="3" max="3" width="2.296875" customWidth="1"/>
    <col min="4" max="4" width="5.19921875" style="14" bestFit="1" customWidth="1"/>
    <col min="5" max="5" width="2" customWidth="1"/>
    <col min="6" max="6" width="34.8984375" bestFit="1" customWidth="1"/>
    <col min="7" max="7" width="6.3984375" style="14" bestFit="1" customWidth="1"/>
    <col min="8" max="8" width="2.19921875" style="41" customWidth="1"/>
    <col min="9" max="9" width="24.796875" bestFit="1" customWidth="1"/>
    <col min="10" max="10" width="17.8984375" customWidth="1"/>
    <col min="11" max="11" width="16.59765625" customWidth="1"/>
    <col min="12" max="12" width="2.3984375" customWidth="1"/>
    <col min="13" max="13" width="34.8984375" bestFit="1" customWidth="1"/>
    <col min="14" max="14" width="16.19921875" style="14" bestFit="1" customWidth="1"/>
    <col min="15" max="15" width="1.59765625" customWidth="1"/>
    <col min="19" max="19" width="8.796875" style="41"/>
  </cols>
  <sheetData>
    <row r="1" spans="1:19" s="30" customFormat="1" ht="35.049999999999997" customHeight="1" thickBot="1" x14ac:dyDescent="0.35">
      <c r="A1" s="54" t="s">
        <v>82</v>
      </c>
      <c r="B1" s="63"/>
      <c r="C1"/>
      <c r="D1" s="63"/>
      <c r="F1" s="55" t="s">
        <v>110</v>
      </c>
      <c r="G1" s="55"/>
      <c r="M1" s="55" t="s">
        <v>111</v>
      </c>
      <c r="N1" s="55"/>
      <c r="O1" s="52"/>
      <c r="Q1" s="41"/>
      <c r="R1" s="41"/>
      <c r="S1" s="41"/>
    </row>
    <row r="2" spans="1:19" ht="7.75" customHeight="1" thickTop="1" thickBot="1" x14ac:dyDescent="0.35">
      <c r="B2"/>
      <c r="D2"/>
      <c r="G2"/>
      <c r="H2"/>
      <c r="N2"/>
      <c r="S2"/>
    </row>
    <row r="3" spans="1:19" ht="24.95" thickTop="1" thickBot="1" x14ac:dyDescent="0.35">
      <c r="B3" s="56" t="s">
        <v>75</v>
      </c>
      <c r="D3" s="65" t="s">
        <v>47</v>
      </c>
      <c r="E3" s="30"/>
      <c r="G3" s="57" t="s">
        <v>48</v>
      </c>
      <c r="H3" s="52"/>
      <c r="I3" s="30"/>
      <c r="J3" s="68" t="s">
        <v>32</v>
      </c>
      <c r="K3" s="68" t="s">
        <v>33</v>
      </c>
      <c r="L3" s="30"/>
      <c r="M3" s="30"/>
      <c r="N3" s="49" t="s">
        <v>30</v>
      </c>
      <c r="P3" s="142" t="s">
        <v>84</v>
      </c>
      <c r="Q3" s="116"/>
      <c r="R3" s="117"/>
      <c r="S3"/>
    </row>
    <row r="4" spans="1:19" ht="15.55" customHeight="1" thickTop="1" thickBot="1" x14ac:dyDescent="0.35">
      <c r="A4" s="8" t="s">
        <v>9</v>
      </c>
      <c r="B4" s="18">
        <f>'BACKGROUND Calcs'!H24</f>
        <v>9</v>
      </c>
      <c r="D4" s="21">
        <f>'BACKGROUND Calcs'!H38</f>
        <v>9</v>
      </c>
      <c r="F4" s="8" t="s">
        <v>9</v>
      </c>
      <c r="G4" s="26">
        <f>'BACKGROUND Calcs'!H51</f>
        <v>17</v>
      </c>
      <c r="I4" s="8" t="s">
        <v>9</v>
      </c>
      <c r="J4" s="42">
        <f>'BACKGROUND Calcs'!H54</f>
        <v>14</v>
      </c>
      <c r="K4" s="42">
        <f>'BACKGROUND Calcs'!H57</f>
        <v>14</v>
      </c>
      <c r="M4" s="8" t="s">
        <v>9</v>
      </c>
      <c r="N4" s="47">
        <f>'BACKGROUND Calcs'!H60</f>
        <v>14</v>
      </c>
      <c r="P4" s="118"/>
      <c r="Q4" s="119"/>
      <c r="R4" s="120"/>
    </row>
    <row r="5" spans="1:19" ht="6.65" customHeight="1" thickTop="1" thickBot="1" x14ac:dyDescent="0.35">
      <c r="B5" s="16"/>
      <c r="D5" s="64"/>
      <c r="G5" s="58"/>
      <c r="P5" s="118"/>
      <c r="Q5" s="119"/>
      <c r="R5" s="120"/>
    </row>
    <row r="6" spans="1:19" ht="15.55" customHeight="1" thickTop="1" thickBot="1" x14ac:dyDescent="0.35">
      <c r="A6" s="5" t="s">
        <v>103</v>
      </c>
      <c r="B6" s="19"/>
      <c r="D6" s="22"/>
      <c r="F6" s="5" t="s">
        <v>103</v>
      </c>
      <c r="G6" s="60"/>
      <c r="I6" s="6" t="s">
        <v>143</v>
      </c>
      <c r="J6" s="43">
        <f>SUM(IF($B$9="sh",$B$10,0),(IF($D$9="sh",$D$10,0)),(IF(G9="sh",G10,0)))</f>
        <v>0</v>
      </c>
      <c r="K6" s="43">
        <f>SUM(IF($B$9="cd",$B$10,0),(IF($D$9="cd",$D$10,0)),(IF(G9="CD",G10,0)))</f>
        <v>0</v>
      </c>
      <c r="M6" s="6" t="s">
        <v>126</v>
      </c>
      <c r="N6" s="47">
        <f>SUM(IF(B9="SH",B10,IF(B9="CD",B10,0)),IF(D9="SH",D10,IF(D9="CD",D10,0)),IF(G9="Global",G10,0))</f>
        <v>0</v>
      </c>
      <c r="P6" s="121"/>
      <c r="Q6" s="122"/>
      <c r="R6" s="123"/>
    </row>
    <row r="7" spans="1:19" ht="15.55" thickTop="1" thickBot="1" x14ac:dyDescent="0.35">
      <c r="A7" s="5" t="s">
        <v>104</v>
      </c>
      <c r="B7" s="20"/>
      <c r="D7" s="22"/>
      <c r="F7" s="5" t="s">
        <v>104</v>
      </c>
      <c r="G7" s="60"/>
      <c r="I7" s="6" t="s">
        <v>142</v>
      </c>
      <c r="J7" s="43">
        <f>IF($B$9="sh",$B$10*(1-$B$12),(IF($D$9="sh",$D$10*(1-$D$12),(IF($G$9="sh",$G$10*(1-$G$12),0)))))</f>
        <v>0</v>
      </c>
      <c r="K7" s="43">
        <f>IF($B$9="cd",$B$10*(1-$B$12),(IF($D$9="cd",$D$10*(1-$D$12),(IF($G$9="cd",$G$10*(1-$G$12),0)))))</f>
        <v>0</v>
      </c>
    </row>
    <row r="8" spans="1:19" ht="6.1" customHeight="1" thickTop="1" thickBot="1" x14ac:dyDescent="0.35">
      <c r="B8"/>
      <c r="D8" s="64"/>
      <c r="G8" s="58"/>
      <c r="I8" t="s">
        <v>0</v>
      </c>
      <c r="K8" t="s">
        <v>0</v>
      </c>
    </row>
    <row r="9" spans="1:19" ht="15.55" customHeight="1" thickTop="1" thickBot="1" x14ac:dyDescent="0.35">
      <c r="A9" s="1" t="s">
        <v>108</v>
      </c>
      <c r="B9" s="20"/>
      <c r="D9" s="22"/>
      <c r="F9" s="6" t="s">
        <v>108</v>
      </c>
      <c r="G9" s="23"/>
      <c r="I9" s="8" t="s">
        <v>102</v>
      </c>
      <c r="J9" s="42"/>
      <c r="K9" s="42"/>
      <c r="L9" s="64"/>
      <c r="M9" s="8" t="s">
        <v>114</v>
      </c>
      <c r="N9" s="47"/>
      <c r="P9" s="115" t="s">
        <v>90</v>
      </c>
      <c r="Q9" s="152"/>
      <c r="R9" s="153"/>
    </row>
    <row r="10" spans="1:19" ht="15.55" customHeight="1" thickTop="1" thickBot="1" x14ac:dyDescent="0.35">
      <c r="A10" s="1" t="s">
        <v>124</v>
      </c>
      <c r="B10" s="20"/>
      <c r="D10" s="22"/>
      <c r="F10" s="6" t="s">
        <v>124</v>
      </c>
      <c r="G10" s="23"/>
      <c r="I10" s="8" t="s">
        <v>114</v>
      </c>
      <c r="J10" s="43"/>
      <c r="K10" s="43"/>
      <c r="L10" s="64"/>
      <c r="M10" s="8"/>
      <c r="N10" s="47"/>
      <c r="P10" s="154"/>
      <c r="Q10" s="155"/>
      <c r="R10" s="156"/>
    </row>
    <row r="11" spans="1:19" ht="15.55" customHeight="1" thickTop="1" thickBot="1" x14ac:dyDescent="0.35">
      <c r="A11" s="1" t="s">
        <v>109</v>
      </c>
      <c r="B11" s="20"/>
      <c r="D11" s="22"/>
      <c r="F11" s="6" t="s">
        <v>109</v>
      </c>
      <c r="G11" s="23"/>
      <c r="I11" s="7" t="s">
        <v>24</v>
      </c>
      <c r="J11" s="42">
        <f>SUM(IF(J6&gt;0,1,0),IF(J9&gt;0,0,-1),J5,J10)</f>
        <v>-1</v>
      </c>
      <c r="K11" s="42">
        <f>SUM(IF(K6&gt;0,1,0),IF(K9&gt;0,0,-1),K10)</f>
        <v>-1</v>
      </c>
      <c r="L11" s="64"/>
      <c r="M11" s="8" t="s">
        <v>24</v>
      </c>
      <c r="N11" s="47">
        <f>IF(B9="SH",0,IF(B9="CD",0,IF(D9="SH",0,IF(D9="CD",0,-1))))</f>
        <v>-1</v>
      </c>
      <c r="P11" s="157"/>
      <c r="Q11" s="158"/>
      <c r="R11" s="159"/>
    </row>
    <row r="12" spans="1:19" ht="14.4" customHeight="1" thickTop="1" thickBot="1" x14ac:dyDescent="0.35">
      <c r="A12" s="69" t="s">
        <v>140</v>
      </c>
      <c r="B12" s="67"/>
      <c r="D12" s="51"/>
      <c r="F12" s="69" t="s">
        <v>140</v>
      </c>
      <c r="G12" s="71"/>
      <c r="I12" s="7" t="s">
        <v>10</v>
      </c>
      <c r="J12" s="42" t="str">
        <f>IF('BACKGROUND Calcs'!$I$54&lt;10,"Weak",IF('BACKGROUND Calcs'!$I$54&gt;16,"Good","Normal"))</f>
        <v>Normal</v>
      </c>
      <c r="K12" s="42" t="str">
        <f>IF('BACKGROUND Calcs'!$I$57&lt;10,"Weak",IF('BACKGROUND Calcs'!$I$57&gt;16,"Good","Normal"))</f>
        <v>Normal</v>
      </c>
      <c r="L12" s="64"/>
      <c r="M12" s="8" t="s">
        <v>10</v>
      </c>
      <c r="N12" s="48">
        <f>MAX(0,MIN(25,N4+SUM(N11)))</f>
        <v>13</v>
      </c>
      <c r="O12" s="41"/>
      <c r="P12" s="41"/>
      <c r="Q12" s="41"/>
      <c r="R12" s="41"/>
    </row>
    <row r="13" spans="1:19" ht="15.55" thickTop="1" thickBot="1" x14ac:dyDescent="0.35">
      <c r="A13" s="6" t="s">
        <v>112</v>
      </c>
      <c r="B13" s="20"/>
      <c r="D13" s="22"/>
      <c r="F13" s="6" t="s">
        <v>112</v>
      </c>
      <c r="G13" s="23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9" ht="15.55" customHeight="1" thickTop="1" thickBot="1" x14ac:dyDescent="0.35">
      <c r="B14" s="17"/>
      <c r="D14" s="66"/>
      <c r="G14" s="59"/>
      <c r="I14" s="124" t="s">
        <v>147</v>
      </c>
      <c r="J14" s="125"/>
      <c r="K14" s="126"/>
      <c r="L14" s="41"/>
      <c r="M14" s="133" t="s">
        <v>144</v>
      </c>
      <c r="N14" s="134"/>
      <c r="O14" s="134"/>
      <c r="P14" s="134"/>
      <c r="Q14" s="134"/>
      <c r="R14" s="135"/>
    </row>
    <row r="15" spans="1:19" ht="15.55" customHeight="1" thickTop="1" thickBot="1" x14ac:dyDescent="0.35">
      <c r="A15" s="6" t="s">
        <v>119</v>
      </c>
      <c r="B15" s="20"/>
      <c r="D15" s="22"/>
      <c r="F15" s="6" t="s">
        <v>119</v>
      </c>
      <c r="G15" s="23"/>
      <c r="I15" s="127"/>
      <c r="J15" s="128"/>
      <c r="K15" s="129"/>
      <c r="L15" s="41"/>
      <c r="M15" s="136"/>
      <c r="N15" s="137"/>
      <c r="O15" s="137"/>
      <c r="P15" s="137"/>
      <c r="Q15" s="137"/>
      <c r="R15" s="138"/>
    </row>
    <row r="16" spans="1:19" ht="15.55" customHeight="1" thickTop="1" thickBot="1" x14ac:dyDescent="0.35">
      <c r="A16" s="69" t="s">
        <v>120</v>
      </c>
      <c r="B16" s="20"/>
      <c r="D16" s="22"/>
      <c r="F16" s="69" t="s">
        <v>123</v>
      </c>
      <c r="G16" s="23"/>
      <c r="I16" s="127"/>
      <c r="J16" s="128"/>
      <c r="K16" s="129"/>
      <c r="L16" s="41"/>
      <c r="M16" s="136"/>
      <c r="N16" s="137"/>
      <c r="O16" s="137"/>
      <c r="P16" s="137"/>
      <c r="Q16" s="137"/>
      <c r="R16" s="138"/>
    </row>
    <row r="17" spans="1:18" ht="15.55" customHeight="1" thickTop="1" thickBot="1" x14ac:dyDescent="0.35">
      <c r="A17" s="6" t="s">
        <v>113</v>
      </c>
      <c r="B17" s="20"/>
      <c r="D17" s="22"/>
      <c r="F17" s="6" t="s">
        <v>113</v>
      </c>
      <c r="G17" s="23"/>
      <c r="I17" s="127"/>
      <c r="J17" s="128"/>
      <c r="K17" s="129"/>
      <c r="L17" s="41"/>
      <c r="M17" s="136"/>
      <c r="N17" s="137"/>
      <c r="O17" s="137"/>
      <c r="P17" s="137"/>
      <c r="Q17" s="137"/>
      <c r="R17" s="138"/>
    </row>
    <row r="18" spans="1:18" ht="15.55" customHeight="1" thickTop="1" thickBot="1" x14ac:dyDescent="0.35">
      <c r="A18" s="6" t="s">
        <v>122</v>
      </c>
      <c r="B18" s="20"/>
      <c r="D18" s="22"/>
      <c r="F18" s="6" t="s">
        <v>122</v>
      </c>
      <c r="G18" s="23"/>
      <c r="I18" s="127"/>
      <c r="J18" s="128"/>
      <c r="K18" s="129"/>
      <c r="L18" s="41"/>
      <c r="M18" s="136"/>
      <c r="N18" s="137"/>
      <c r="O18" s="137"/>
      <c r="P18" s="137"/>
      <c r="Q18" s="137"/>
      <c r="R18" s="138"/>
    </row>
    <row r="19" spans="1:18" ht="15.55" customHeight="1" thickTop="1" thickBot="1" x14ac:dyDescent="0.35">
      <c r="D19" s="66"/>
      <c r="G19" s="59"/>
      <c r="I19" s="127"/>
      <c r="J19" s="128"/>
      <c r="K19" s="129"/>
      <c r="L19" s="41"/>
      <c r="M19" s="136"/>
      <c r="N19" s="137"/>
      <c r="O19" s="137"/>
      <c r="P19" s="137"/>
      <c r="Q19" s="137"/>
      <c r="R19" s="138"/>
    </row>
    <row r="20" spans="1:18" ht="15.55" customHeight="1" thickTop="1" thickBot="1" x14ac:dyDescent="0.35">
      <c r="A20" s="8" t="s">
        <v>121</v>
      </c>
      <c r="B20" s="20"/>
      <c r="D20" s="22"/>
      <c r="F20" s="8" t="s">
        <v>121</v>
      </c>
      <c r="G20" s="23"/>
      <c r="I20" s="127"/>
      <c r="J20" s="128"/>
      <c r="K20" s="129"/>
      <c r="L20" s="41"/>
      <c r="M20" s="136"/>
      <c r="N20" s="137"/>
      <c r="O20" s="137"/>
      <c r="P20" s="137"/>
      <c r="Q20" s="137"/>
      <c r="R20" s="138"/>
    </row>
    <row r="21" spans="1:18" ht="15.55" customHeight="1" thickTop="1" thickBot="1" x14ac:dyDescent="0.35">
      <c r="A21" s="7" t="s">
        <v>24</v>
      </c>
      <c r="B21" s="20">
        <f>B13*4+IF(B17&gt;0,1,-1)+IF(B9="SH",1,IF(B9="CD",1,0))+IF(G1=1,-4,0)</f>
        <v>-1</v>
      </c>
      <c r="D21" s="22">
        <f>D13*4+IF(D17&gt;0,1,-1)+IF(D9="SH",1,IF(D9="CD",1,0))+IF(N1=1,-4,0)</f>
        <v>-1</v>
      </c>
      <c r="F21" s="7" t="s">
        <v>24</v>
      </c>
      <c r="G21" s="24">
        <f>G13*4+G17+IF(G9="SH",1,IF(G9="CD",1,0))</f>
        <v>0</v>
      </c>
      <c r="I21" s="127"/>
      <c r="J21" s="128"/>
      <c r="K21" s="129"/>
      <c r="L21" s="41"/>
      <c r="M21" s="136"/>
      <c r="N21" s="137"/>
      <c r="O21" s="137"/>
      <c r="P21" s="137"/>
      <c r="Q21" s="137"/>
      <c r="R21" s="138"/>
    </row>
    <row r="22" spans="1:18" ht="18.850000000000001" customHeight="1" thickTop="1" thickBot="1" x14ac:dyDescent="0.35">
      <c r="A22" s="7" t="s">
        <v>10</v>
      </c>
      <c r="B22" s="73" t="str">
        <f>IF('BACKGROUND Calcs'!$I$24&lt;10,"Weak",IF('BACKGROUND Calcs'!$I$24&gt;16,"Good","Normal"))</f>
        <v>Weak</v>
      </c>
      <c r="D22" s="73" t="str">
        <f>IF('BACKGROUND Calcs'!$I$38&lt;10,"Weak",IF('BACKGROUND Calcs'!$I$38&gt;16,"Good","Normal"))</f>
        <v>Weak</v>
      </c>
      <c r="F22" s="7" t="s">
        <v>10</v>
      </c>
      <c r="G22" s="26" t="str">
        <f>IF('BACKGROUND Calcs'!$I$51&lt;10,"Weak",IF('BACKGROUND Calcs'!$I$51&gt;16,"Good","Normal"))</f>
        <v>Good</v>
      </c>
      <c r="I22" s="127"/>
      <c r="J22" s="128"/>
      <c r="K22" s="129"/>
      <c r="L22" s="41"/>
      <c r="M22" s="136"/>
      <c r="N22" s="137"/>
      <c r="O22" s="137"/>
      <c r="P22" s="137"/>
      <c r="Q22" s="137"/>
      <c r="R22" s="138"/>
    </row>
    <row r="23" spans="1:18" ht="15.55" customHeight="1" thickTop="1" thickBot="1" x14ac:dyDescent="0.35">
      <c r="B23" s="17"/>
      <c r="D23" s="66"/>
      <c r="G23" s="59"/>
      <c r="I23" s="127"/>
      <c r="J23" s="128"/>
      <c r="K23" s="129"/>
      <c r="L23" s="41"/>
      <c r="M23" s="136"/>
      <c r="N23" s="137"/>
      <c r="O23" s="137"/>
      <c r="P23" s="137"/>
      <c r="Q23" s="137"/>
      <c r="R23" s="138"/>
    </row>
    <row r="24" spans="1:18" ht="14.4" customHeight="1" thickTop="1" thickBot="1" x14ac:dyDescent="0.35">
      <c r="A24" s="69" t="s">
        <v>148</v>
      </c>
      <c r="B24" s="20"/>
      <c r="D24" s="22"/>
      <c r="F24" s="69" t="s">
        <v>148</v>
      </c>
      <c r="G24" s="24"/>
      <c r="I24" s="127"/>
      <c r="J24" s="128"/>
      <c r="K24" s="129"/>
      <c r="L24" s="41"/>
      <c r="M24" s="136"/>
      <c r="N24" s="137"/>
      <c r="O24" s="137"/>
      <c r="P24" s="137"/>
      <c r="Q24" s="137"/>
      <c r="R24" s="138"/>
    </row>
    <row r="25" spans="1:18" ht="14.4" customHeight="1" thickTop="1" thickBot="1" x14ac:dyDescent="0.35">
      <c r="A25" s="69" t="s">
        <v>35</v>
      </c>
      <c r="B25" s="67">
        <f>'BACKGROUND Calcs'!I19+B12*IF(B9="Global",0,B10)+B24</f>
        <v>0</v>
      </c>
      <c r="D25" s="51">
        <f>'BACKGROUND Calcs'!I33+D12*IF(D9="Global",0,D10)+D24</f>
        <v>0</v>
      </c>
      <c r="F25" s="69" t="s">
        <v>35</v>
      </c>
      <c r="G25" s="75">
        <f>'BACKGROUND Calcs'!I47+G12*IF(G9="Global",0,G10)+G24</f>
        <v>0</v>
      </c>
      <c r="I25" s="127"/>
      <c r="J25" s="128"/>
      <c r="K25" s="129"/>
      <c r="L25" s="41"/>
      <c r="M25" s="136"/>
      <c r="N25" s="137"/>
      <c r="O25" s="137"/>
      <c r="P25" s="137"/>
      <c r="Q25" s="137"/>
      <c r="R25" s="138"/>
    </row>
    <row r="26" spans="1:18" ht="14.95" customHeight="1" thickTop="1" thickBot="1" x14ac:dyDescent="0.35">
      <c r="A26" s="69" t="s">
        <v>41</v>
      </c>
      <c r="B26" s="45">
        <v>0</v>
      </c>
      <c r="D26" s="44">
        <f>'BACKGROUND Calcs'!I36</f>
        <v>8.59375E-2</v>
      </c>
      <c r="F26" s="69" t="s">
        <v>41</v>
      </c>
      <c r="G26" s="72">
        <f>'BACKGROUND Calcs'!I49</f>
        <v>0</v>
      </c>
      <c r="I26" s="127"/>
      <c r="J26" s="128"/>
      <c r="K26" s="129"/>
      <c r="L26" s="41"/>
      <c r="M26" s="136"/>
      <c r="N26" s="137"/>
      <c r="O26" s="137"/>
      <c r="P26" s="137"/>
      <c r="Q26" s="137"/>
      <c r="R26" s="138"/>
    </row>
    <row r="27" spans="1:18" ht="15.55" thickTop="1" thickBot="1" x14ac:dyDescent="0.35">
      <c r="A27" s="69" t="s">
        <v>49</v>
      </c>
      <c r="B27" s="45">
        <f>'BACKGROUND Calcs'!I23</f>
        <v>0.14336283185840706</v>
      </c>
      <c r="D27" s="44">
        <f>'BACKGROUND Calcs'!I37</f>
        <v>3.5398230088495575E-2</v>
      </c>
      <c r="F27" s="69" t="s">
        <v>49</v>
      </c>
      <c r="G27" s="72">
        <f>'BACKGROUND Calcs'!I50</f>
        <v>0</v>
      </c>
      <c r="I27" s="127"/>
      <c r="J27" s="128"/>
      <c r="K27" s="129"/>
      <c r="M27" s="136"/>
      <c r="N27" s="137"/>
      <c r="O27" s="137"/>
      <c r="P27" s="137"/>
      <c r="Q27" s="137"/>
      <c r="R27" s="138"/>
    </row>
    <row r="28" spans="1:18" ht="15.55" thickTop="1" thickBot="1" x14ac:dyDescent="0.35">
      <c r="A28" s="78" t="s">
        <v>133</v>
      </c>
      <c r="B28" s="76"/>
      <c r="D28" s="77"/>
      <c r="F28" s="78" t="s">
        <v>132</v>
      </c>
      <c r="G28" s="80"/>
      <c r="I28" s="130"/>
      <c r="J28" s="131"/>
      <c r="K28" s="132"/>
      <c r="M28" s="139"/>
      <c r="N28" s="140"/>
      <c r="O28" s="140"/>
      <c r="P28" s="140"/>
      <c r="Q28" s="140"/>
      <c r="R28" s="141"/>
    </row>
    <row r="29" spans="1:18" ht="22.15" customHeight="1" thickTop="1" x14ac:dyDescent="0.3"/>
    <row r="33" spans="15:18" x14ac:dyDescent="0.3">
      <c r="O33" s="41"/>
    </row>
    <row r="34" spans="15:18" x14ac:dyDescent="0.3">
      <c r="O34" s="41"/>
    </row>
    <row r="35" spans="15:18" x14ac:dyDescent="0.3">
      <c r="O35" s="41"/>
    </row>
    <row r="36" spans="15:18" x14ac:dyDescent="0.3">
      <c r="O36" s="41"/>
      <c r="P36" s="41"/>
      <c r="Q36" s="41"/>
      <c r="R36" s="41"/>
    </row>
    <row r="37" spans="15:18" x14ac:dyDescent="0.3">
      <c r="O37" s="41"/>
    </row>
    <row r="38" spans="15:18" x14ac:dyDescent="0.3">
      <c r="O38" s="41"/>
    </row>
    <row r="39" spans="15:18" x14ac:dyDescent="0.3">
      <c r="O39" s="41"/>
    </row>
  </sheetData>
  <mergeCells count="4">
    <mergeCell ref="P9:R11"/>
    <mergeCell ref="P3:R6"/>
    <mergeCell ref="M14:R28"/>
    <mergeCell ref="I14:K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Investment Calc Reveal</vt:lpstr>
      <vt:lpstr> CCGR Reveal</vt:lpstr>
      <vt:lpstr>Scene 1</vt:lpstr>
      <vt:lpstr>Scene 2</vt:lpstr>
      <vt:lpstr>Scene 3</vt:lpstr>
      <vt:lpstr>Scene 4</vt:lpstr>
      <vt:lpstr>Scene 5</vt:lpstr>
      <vt:lpstr>Scene 6</vt:lpstr>
      <vt:lpstr>Scene 7</vt:lpstr>
      <vt:lpstr>Final Scores</vt:lpstr>
      <vt:lpstr>BACKGROUND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Curtiss</dc:creator>
  <cp:lastModifiedBy>Ian Curtiss</cp:lastModifiedBy>
  <dcterms:created xsi:type="dcterms:W3CDTF">2023-11-22T22:50:58Z</dcterms:created>
  <dcterms:modified xsi:type="dcterms:W3CDTF">2024-12-12T14:05:22Z</dcterms:modified>
</cp:coreProperties>
</file>