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56" yWindow="0" windowWidth="15576" windowHeight="10800"/>
  </bookViews>
  <sheets>
    <sheet name="Sheet1" sheetId="1" r:id="rId1"/>
  </sheets>
  <definedNames>
    <definedName name="µo">Sheet1!$G$28</definedName>
    <definedName name="µr">Sheet1!$G$29</definedName>
    <definedName name="Cap">Sheet1!$G$33</definedName>
    <definedName name="chg">Sheet1!$G$48</definedName>
    <definedName name="dist">Sheet1!$G$26</definedName>
    <definedName name="Dm">Sheet1!$G$14</definedName>
    <definedName name="fi">Sheet1!$G$39</definedName>
    <definedName name="frq">Sheet1!$G$19</definedName>
    <definedName name="GandC">Sheet1!$G$44</definedName>
    <definedName name="gl">Sheet1!$G$46</definedName>
    <definedName name="Ir">Sheet1!$G$37</definedName>
    <definedName name="Is">Sheet1!$G$51</definedName>
    <definedName name="length">Sheet1!$G$18</definedName>
    <definedName name="nc">Sheet1!$G$13</definedName>
    <definedName name="ncnew">Sheet1!$C$12</definedName>
    <definedName name="ncrc">Sheet1!$G$12</definedName>
    <definedName name="npar">Sheet1!$G$10</definedName>
    <definedName name="p.f.">Sheet1!$G$38</definedName>
    <definedName name="Ploss">Sheet1!$G$56</definedName>
    <definedName name="Pr">Sheet1!$G$42</definedName>
    <definedName name="Ps">Sheet1!$G$55</definedName>
    <definedName name="Qr">Sheet1!$G$41</definedName>
    <definedName name="Qs">Sheet1!$G$53</definedName>
    <definedName name="Qsloss">Sheet1!$G$54</definedName>
    <definedName name="RandX">Sheet1!$G$43</definedName>
    <definedName name="req">Sheet1!$G$27</definedName>
    <definedName name="Rl">Sheet1!$G$24</definedName>
    <definedName name="rt">Sheet1!$G$25</definedName>
    <definedName name="shg">Sheet1!$G$49</definedName>
    <definedName name="SIL">Sheet1!$G$17</definedName>
    <definedName name="sq">Sheet1!$G$21</definedName>
    <definedName name="Sr">Sheet1!$G$20</definedName>
    <definedName name="Srcalc">Sheet1!$G$40</definedName>
    <definedName name="Ss">Sheet1!$G$52</definedName>
    <definedName name="Stran">Sheet1!$G$11</definedName>
    <definedName name="Tamb">Sheet1!$G$22</definedName>
    <definedName name="Tcond">Sheet1!$G$23</definedName>
    <definedName name="ULL">Sheet1!$G$15</definedName>
    <definedName name="Ur">Sheet1!$G$36</definedName>
    <definedName name="Us">Sheet1!$G$50</definedName>
    <definedName name="Xl">Sheet1!$G$30</definedName>
    <definedName name="Z">Sheet1!$G$47</definedName>
    <definedName name="γ">Sheet1!$G$45</definedName>
    <definedName name="εo">Sheet1!$G$31</definedName>
    <definedName name="εr">Sheet1!$G$32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I9" i="1"/>
  <c r="G25" i="1"/>
  <c r="J25" i="1"/>
  <c r="I21" i="1"/>
  <c r="J7" i="1"/>
  <c r="G14" i="1"/>
  <c r="Q73" i="1"/>
  <c r="S73" i="1" s="1"/>
  <c r="S72" i="1"/>
  <c r="Q72" i="1"/>
  <c r="Q71" i="1"/>
  <c r="S71" i="1" s="1"/>
  <c r="T73" i="1" s="1"/>
  <c r="S70" i="1"/>
  <c r="R70" i="1"/>
  <c r="Q70" i="1"/>
  <c r="S69" i="1"/>
  <c r="Q69" i="1"/>
  <c r="Q68" i="1"/>
  <c r="S68" i="1" s="1"/>
  <c r="R67" i="1"/>
  <c r="S67" i="1" s="1"/>
  <c r="S66" i="1"/>
  <c r="Q65" i="1"/>
  <c r="S65" i="1" s="1"/>
  <c r="T70" i="1" s="1"/>
  <c r="E37" i="1"/>
  <c r="G16" i="1"/>
  <c r="G36" i="1" s="1"/>
  <c r="G31" i="1"/>
  <c r="G28" i="1"/>
  <c r="T74" i="1" l="1"/>
  <c r="H27" i="1" l="1"/>
  <c r="G27" i="1" s="1"/>
  <c r="G33" i="1" l="1"/>
  <c r="G44" i="1" s="1"/>
  <c r="G30" i="1"/>
  <c r="G21" i="1"/>
  <c r="G39" i="1"/>
  <c r="G37" i="1" s="1"/>
  <c r="G40" i="1" s="1"/>
  <c r="D15" i="1"/>
  <c r="D20" i="1"/>
  <c r="G18" i="1"/>
  <c r="G11" i="1"/>
  <c r="G43" i="1" l="1"/>
  <c r="G47" i="1" s="1"/>
  <c r="E47" i="1" s="1"/>
  <c r="G17" i="1" s="1"/>
  <c r="G42" i="1"/>
  <c r="G41" i="1"/>
  <c r="G45" i="1" l="1"/>
  <c r="G46" i="1" s="1"/>
  <c r="G49" i="1" l="1"/>
  <c r="G48" i="1"/>
  <c r="G51" i="1" s="1"/>
  <c r="I49" i="1"/>
  <c r="I48" i="1"/>
  <c r="G50" i="1" l="1"/>
  <c r="E50" i="1" s="1"/>
  <c r="D50" i="1" s="1"/>
  <c r="E57" i="1" s="1"/>
  <c r="G57" i="1" s="1"/>
  <c r="G52" i="1" l="1"/>
  <c r="G53" i="1" s="1"/>
  <c r="G54" i="1" s="1"/>
  <c r="G55" i="1" l="1"/>
  <c r="G56" i="1" s="1"/>
</calcChain>
</file>

<file path=xl/sharedStrings.xml><?xml version="1.0" encoding="utf-8"?>
<sst xmlns="http://schemas.openxmlformats.org/spreadsheetml/2006/main" count="120" uniqueCount="112">
  <si>
    <t>no.of parallel line</t>
  </si>
  <si>
    <t>total S transf.</t>
  </si>
  <si>
    <t>Sr</t>
  </si>
  <si>
    <t>no.circuits per line</t>
  </si>
  <si>
    <t>ncrc</t>
  </si>
  <si>
    <t>nc</t>
  </si>
  <si>
    <t>ULL</t>
  </si>
  <si>
    <t>kV</t>
  </si>
  <si>
    <t>required Ur</t>
  </si>
  <si>
    <t>SIL</t>
  </si>
  <si>
    <t>length</t>
  </si>
  <si>
    <t>km</t>
  </si>
  <si>
    <t>frq</t>
  </si>
  <si>
    <t>MVA</t>
  </si>
  <si>
    <t>Rl</t>
  </si>
  <si>
    <t>ohm/km</t>
  </si>
  <si>
    <t>Xl</t>
  </si>
  <si>
    <t>Cap</t>
  </si>
  <si>
    <t>F</t>
  </si>
  <si>
    <t>Us</t>
  </si>
  <si>
    <t>Is</t>
  </si>
  <si>
    <t>Ur</t>
  </si>
  <si>
    <t>Ir</t>
  </si>
  <si>
    <t>p.f.</t>
  </si>
  <si>
    <t>fi</t>
  </si>
  <si>
    <t>Qr</t>
  </si>
  <si>
    <t>Pr</t>
  </si>
  <si>
    <t>RandX</t>
  </si>
  <si>
    <t>GandC</t>
  </si>
  <si>
    <t>γ</t>
  </si>
  <si>
    <t>gl</t>
  </si>
  <si>
    <t>Z</t>
  </si>
  <si>
    <t>chg</t>
  </si>
  <si>
    <t>shg</t>
  </si>
  <si>
    <t>Ss</t>
  </si>
  <si>
    <t>Qs</t>
  </si>
  <si>
    <t>MVAr</t>
  </si>
  <si>
    <t>Qsloss</t>
  </si>
  <si>
    <t>MW</t>
  </si>
  <si>
    <t>Ploss</t>
  </si>
  <si>
    <t>npar</t>
  </si>
  <si>
    <t>Stran</t>
  </si>
  <si>
    <t>Srcalc</t>
  </si>
  <si>
    <t>Ps</t>
  </si>
  <si>
    <t>sq</t>
  </si>
  <si>
    <t>kcm</t>
  </si>
  <si>
    <t>Tamb</t>
  </si>
  <si>
    <t>Tcond</t>
  </si>
  <si>
    <t>rt</t>
  </si>
  <si>
    <t>miles=</t>
  </si>
  <si>
    <t>dist</t>
  </si>
  <si>
    <t>mm</t>
  </si>
  <si>
    <t>req</t>
  </si>
  <si>
    <t>(rt*nc*(sag/2/SIN(PI()/nc)^(nc-1)))^(1/nc)</t>
  </si>
  <si>
    <r>
      <t>X1=f*</t>
    </r>
    <r>
      <rPr>
        <sz val="11"/>
        <color theme="1"/>
        <rFont val="Calibri"/>
        <family val="2"/>
      </rPr>
      <t>µo*(µr/4/n+ln(dm/r)</t>
    </r>
  </si>
  <si>
    <t>Dm</t>
  </si>
  <si>
    <t>µo</t>
  </si>
  <si>
    <t>µr</t>
  </si>
  <si>
    <t>H/km</t>
  </si>
  <si>
    <t>Al</t>
  </si>
  <si>
    <t>εo</t>
  </si>
  <si>
    <t>εr</t>
  </si>
  <si>
    <t>8.854 nF/km</t>
  </si>
  <si>
    <t>F/km</t>
  </si>
  <si>
    <t>Zeq</t>
  </si>
  <si>
    <t>Urreq</t>
  </si>
  <si>
    <t>conductor radius</t>
  </si>
  <si>
    <t>distance between bundled conductors</t>
  </si>
  <si>
    <t>equivalent radius of bundel</t>
  </si>
  <si>
    <t>total resistance of all parallel lines</t>
  </si>
  <si>
    <t>total reactance of all parallel lines</t>
  </si>
  <si>
    <t>dielectric constant</t>
  </si>
  <si>
    <t>VD</t>
  </si>
  <si>
    <t>%</t>
  </si>
  <si>
    <t>Dm calculation</t>
  </si>
  <si>
    <t>Dm=</t>
  </si>
  <si>
    <t>(d12*d23*d31*d1ii*d2III*d3I/(d1I*d2II*d3III))^(1/3)</t>
  </si>
  <si>
    <t>2*3*240+1*50ACSR</t>
  </si>
  <si>
    <t>X1=0.424</t>
  </si>
  <si>
    <t>horiz.</t>
  </si>
  <si>
    <t>vert.</t>
  </si>
  <si>
    <t>d12</t>
  </si>
  <si>
    <t>d23</t>
  </si>
  <si>
    <t>d31</t>
  </si>
  <si>
    <t>d1II</t>
  </si>
  <si>
    <t>d2III</t>
  </si>
  <si>
    <t>d3I</t>
  </si>
  <si>
    <t>d1I</t>
  </si>
  <si>
    <t>d2II</t>
  </si>
  <si>
    <t>d3III</t>
  </si>
  <si>
    <t>m</t>
  </si>
  <si>
    <t>HZ</t>
  </si>
  <si>
    <t>conductor cross section</t>
  </si>
  <si>
    <t>mm^2</t>
  </si>
  <si>
    <t>oC</t>
  </si>
  <si>
    <t>active line losses</t>
  </si>
  <si>
    <t>total reactive losses</t>
  </si>
  <si>
    <t>check:</t>
  </si>
  <si>
    <t>conductor :</t>
  </si>
  <si>
    <t xml:space="preserve">BLUEBIRD </t>
  </si>
  <si>
    <t>cm</t>
  </si>
  <si>
    <t>MCM</t>
  </si>
  <si>
    <t>dia[inches]</t>
  </si>
  <si>
    <t>R</t>
  </si>
  <si>
    <t>a.c. 75oC</t>
  </si>
  <si>
    <t>ohm/1000ft</t>
  </si>
  <si>
    <t>29/sq*1.06*(228+Tcond)/(228+20)/nc/ncrc/npar</t>
  </si>
  <si>
    <t>no.cond.per bundle</t>
  </si>
  <si>
    <t xml:space="preserve">Siemens </t>
  </si>
  <si>
    <t>Line Constant by Steffen Schmidt [p.p.s.]</t>
  </si>
  <si>
    <t>SIEMENS -FORMEL UND TABELLENBUCH FUER STARKSTROM INGENIEURE</t>
  </si>
  <si>
    <t>According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</si>
</sst>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3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124379</xdr:colOff>
      <xdr:row>60</xdr:row>
      <xdr:rowOff>49113</xdr:rowOff>
    </xdr:from>
    <xdr:to>
      <xdr:col>12</xdr:col>
      <xdr:colOff>168829</xdr:colOff>
      <xdr:row>88</xdr:row>
      <xdr:rowOff>105486</xdr:rowOff>
    </xdr:to>
    <xdr:pic>
      <xdr:nvPicPr>
        <xdr:cNvPr id="3" name="Picture 2" descr="Fig. 2. Transmission towers for 69 and 138 kV power lines T1[21], T2 [22].">
          <a:extLst>
            <a:ext uri="{FF2B5EF4-FFF2-40B4-BE49-F238E27FC236}">
              <a16:creationId xmlns="" xmlns:a16="http://schemas.microsoft.com/office/drawing/2014/main" id="{A2FDC371-3F4F-4A83-904D-86803C536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979" y="2258913"/>
          <a:ext cx="6553200" cy="522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184150</xdr:colOff>
      <xdr:row>69</xdr:row>
      <xdr:rowOff>63500</xdr:rowOff>
    </xdr:from>
    <xdr:to>
      <xdr:col>8</xdr:col>
      <xdr:colOff>514350</xdr:colOff>
      <xdr:row>71</xdr:row>
      <xdr:rowOff>12700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FB794C49-6D60-4DB5-AA86-4934DFB0E896}"/>
            </a:ext>
          </a:extLst>
        </xdr:cNvPr>
        <xdr:cNvSpPr txBox="1"/>
      </xdr:nvSpPr>
      <xdr:spPr>
        <a:xfrm>
          <a:off x="4451350" y="3930650"/>
          <a:ext cx="3302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1</a:t>
          </a:r>
          <a:endParaRPr lang="x-none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571500</xdr:colOff>
      <xdr:row>73</xdr:row>
      <xdr:rowOff>152400</xdr:rowOff>
    </xdr:from>
    <xdr:to>
      <xdr:col>8</xdr:col>
      <xdr:colOff>292100</xdr:colOff>
      <xdr:row>75</xdr:row>
      <xdr:rowOff>101600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756540B9-CF66-4960-AE9B-FFCDE209B04C}"/>
            </a:ext>
          </a:extLst>
        </xdr:cNvPr>
        <xdr:cNvSpPr txBox="1"/>
      </xdr:nvSpPr>
      <xdr:spPr>
        <a:xfrm>
          <a:off x="4229100" y="4756150"/>
          <a:ext cx="3302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2</a:t>
          </a:r>
          <a:endParaRPr lang="x-none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177800</xdr:colOff>
      <xdr:row>78</xdr:row>
      <xdr:rowOff>12700</xdr:rowOff>
    </xdr:from>
    <xdr:to>
      <xdr:col>8</xdr:col>
      <xdr:colOff>508000</xdr:colOff>
      <xdr:row>79</xdr:row>
      <xdr:rowOff>146050</xdr:rowOff>
    </xdr:to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3EC49FE8-818C-4997-A613-EE70072F2A87}"/>
            </a:ext>
          </a:extLst>
        </xdr:cNvPr>
        <xdr:cNvSpPr txBox="1"/>
      </xdr:nvSpPr>
      <xdr:spPr>
        <a:xfrm>
          <a:off x="4445000" y="5537200"/>
          <a:ext cx="3302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3</a:t>
          </a:r>
          <a:endParaRPr lang="x-none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831850</xdr:colOff>
      <xdr:row>69</xdr:row>
      <xdr:rowOff>82550</xdr:rowOff>
    </xdr:from>
    <xdr:to>
      <xdr:col>11</xdr:col>
      <xdr:colOff>311150</xdr:colOff>
      <xdr:row>71</xdr:row>
      <xdr:rowOff>31750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F50179A9-B6DE-4316-92D5-0D1597560119}"/>
            </a:ext>
          </a:extLst>
        </xdr:cNvPr>
        <xdr:cNvSpPr txBox="1"/>
      </xdr:nvSpPr>
      <xdr:spPr>
        <a:xfrm>
          <a:off x="6318250" y="3949700"/>
          <a:ext cx="3302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I</a:t>
          </a:r>
          <a:endParaRPr lang="x-none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755650</xdr:colOff>
      <xdr:row>73</xdr:row>
      <xdr:rowOff>139700</xdr:rowOff>
    </xdr:from>
    <xdr:to>
      <xdr:col>11</xdr:col>
      <xdr:colOff>234950</xdr:colOff>
      <xdr:row>75</xdr:row>
      <xdr:rowOff>88900</xdr:rowOff>
    </xdr:to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7BB9AAE6-A2DB-450F-B681-9A62B40E9CEC}"/>
            </a:ext>
          </a:extLst>
        </xdr:cNvPr>
        <xdr:cNvSpPr txBox="1"/>
      </xdr:nvSpPr>
      <xdr:spPr>
        <a:xfrm>
          <a:off x="6242050" y="4743450"/>
          <a:ext cx="3302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II</a:t>
          </a:r>
          <a:endParaRPr lang="x-none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508000</xdr:colOff>
      <xdr:row>78</xdr:row>
      <xdr:rowOff>57150</xdr:rowOff>
    </xdr:from>
    <xdr:to>
      <xdr:col>11</xdr:col>
      <xdr:colOff>76200</xdr:colOff>
      <xdr:row>80</xdr:row>
      <xdr:rowOff>19050</xdr:rowOff>
    </xdr:to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EB986B2-B9EE-4C38-BD57-3294B44AF96A}"/>
            </a:ext>
          </a:extLst>
        </xdr:cNvPr>
        <xdr:cNvSpPr txBox="1"/>
      </xdr:nvSpPr>
      <xdr:spPr>
        <a:xfrm>
          <a:off x="5994400" y="5581650"/>
          <a:ext cx="419100" cy="330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III</a:t>
          </a:r>
          <a:endParaRPr lang="x-none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74"/>
  <sheetViews>
    <sheetView tabSelected="1" workbookViewId="0">
      <selection activeCell="G14" sqref="G14"/>
    </sheetView>
  </sheetViews>
  <sheetFormatPr defaultRowHeight="14.4" x14ac:dyDescent="0.3"/>
  <cols>
    <col min="7" max="7" width="11.77734375" bestFit="1" customWidth="1"/>
    <col min="10" max="10" width="11.5546875" customWidth="1"/>
  </cols>
  <sheetData>
    <row r="4" spans="4:13" x14ac:dyDescent="0.3">
      <c r="D4" t="s">
        <v>111</v>
      </c>
    </row>
    <row r="5" spans="4:13" x14ac:dyDescent="0.3">
      <c r="D5" t="s">
        <v>108</v>
      </c>
      <c r="E5" t="s">
        <v>109</v>
      </c>
    </row>
    <row r="6" spans="4:13" x14ac:dyDescent="0.3">
      <c r="D6" t="s">
        <v>110</v>
      </c>
    </row>
    <row r="7" spans="4:13" x14ac:dyDescent="0.3">
      <c r="D7" t="s">
        <v>98</v>
      </c>
      <c r="F7" t="s">
        <v>99</v>
      </c>
      <c r="H7" s="5">
        <v>2156000</v>
      </c>
      <c r="I7" t="s">
        <v>100</v>
      </c>
      <c r="J7">
        <f>H7/10^3</f>
        <v>2156</v>
      </c>
      <c r="K7" t="s">
        <v>101</v>
      </c>
      <c r="L7">
        <v>1.762</v>
      </c>
      <c r="M7" t="s">
        <v>102</v>
      </c>
    </row>
    <row r="8" spans="4:13" x14ac:dyDescent="0.3">
      <c r="H8" t="s">
        <v>103</v>
      </c>
      <c r="I8">
        <v>1.0500000000000001E-2</v>
      </c>
      <c r="J8" t="s">
        <v>105</v>
      </c>
      <c r="K8" t="s">
        <v>104</v>
      </c>
    </row>
    <row r="9" spans="4:13" x14ac:dyDescent="0.3">
      <c r="I9">
        <f>29/sq*1.06*(228+Tcond)/(228+20)*0.3048</f>
        <v>1.0478765286084536E-2</v>
      </c>
    </row>
    <row r="10" spans="4:13" ht="15.6" x14ac:dyDescent="0.3">
      <c r="D10" t="s">
        <v>0</v>
      </c>
      <c r="F10" s="4" t="s">
        <v>40</v>
      </c>
      <c r="G10">
        <v>3</v>
      </c>
    </row>
    <row r="11" spans="4:13" ht="15.6" x14ac:dyDescent="0.3">
      <c r="D11" t="s">
        <v>1</v>
      </c>
      <c r="F11" s="4" t="s">
        <v>41</v>
      </c>
      <c r="G11">
        <f>Sr</f>
        <v>600</v>
      </c>
      <c r="H11" t="s">
        <v>13</v>
      </c>
    </row>
    <row r="12" spans="4:13" ht="15.6" x14ac:dyDescent="0.3">
      <c r="D12" t="s">
        <v>3</v>
      </c>
      <c r="F12" s="4" t="s">
        <v>4</v>
      </c>
      <c r="G12">
        <v>2</v>
      </c>
    </row>
    <row r="13" spans="4:13" ht="15.6" x14ac:dyDescent="0.3">
      <c r="D13" t="s">
        <v>107</v>
      </c>
      <c r="F13" s="4" t="s">
        <v>5</v>
      </c>
      <c r="G13">
        <v>1</v>
      </c>
    </row>
    <row r="14" spans="4:13" x14ac:dyDescent="0.3">
      <c r="F14" t="s">
        <v>55</v>
      </c>
      <c r="G14">
        <f>T74</f>
        <v>6.3572080674396148</v>
      </c>
      <c r="H14" t="s">
        <v>90</v>
      </c>
    </row>
    <row r="15" spans="4:13" x14ac:dyDescent="0.3">
      <c r="D15">
        <f>E34*SQRT(3)</f>
        <v>0</v>
      </c>
      <c r="F15" t="s">
        <v>6</v>
      </c>
      <c r="G15">
        <v>138</v>
      </c>
      <c r="H15" t="s">
        <v>7</v>
      </c>
      <c r="I15" t="s">
        <v>8</v>
      </c>
    </row>
    <row r="16" spans="4:13" x14ac:dyDescent="0.3">
      <c r="F16" t="s">
        <v>65</v>
      </c>
      <c r="G16">
        <f>ULL/SQRT(3)</f>
        <v>79.674337148168362</v>
      </c>
      <c r="H16" t="s">
        <v>7</v>
      </c>
    </row>
    <row r="17" spans="2:10" ht="15.6" x14ac:dyDescent="0.3">
      <c r="F17" s="4" t="s">
        <v>9</v>
      </c>
      <c r="G17">
        <f>ULL^2/E47</f>
        <v>329.61759582378932</v>
      </c>
      <c r="H17" t="s">
        <v>13</v>
      </c>
    </row>
    <row r="18" spans="2:10" x14ac:dyDescent="0.3">
      <c r="D18" t="s">
        <v>49</v>
      </c>
      <c r="E18">
        <v>70</v>
      </c>
      <c r="F18" t="s">
        <v>10</v>
      </c>
      <c r="G18">
        <f>E18*1.6</f>
        <v>112</v>
      </c>
      <c r="H18" t="s">
        <v>11</v>
      </c>
    </row>
    <row r="19" spans="2:10" x14ac:dyDescent="0.3">
      <c r="F19" t="s">
        <v>12</v>
      </c>
      <c r="G19">
        <v>60</v>
      </c>
      <c r="H19" t="s">
        <v>91</v>
      </c>
    </row>
    <row r="20" spans="2:10" ht="15.6" x14ac:dyDescent="0.3">
      <c r="C20">
        <v>600</v>
      </c>
      <c r="D20">
        <f>C20/Sr</f>
        <v>1</v>
      </c>
      <c r="F20" s="4" t="s">
        <v>2</v>
      </c>
      <c r="G20">
        <v>600</v>
      </c>
      <c r="H20" t="s">
        <v>13</v>
      </c>
    </row>
    <row r="21" spans="2:10" x14ac:dyDescent="0.3">
      <c r="C21" t="s">
        <v>92</v>
      </c>
      <c r="F21" t="s">
        <v>44</v>
      </c>
      <c r="G21">
        <f>I21*0.5067</f>
        <v>1092.4452000000001</v>
      </c>
      <c r="H21" t="s">
        <v>93</v>
      </c>
      <c r="I21">
        <f>J7</f>
        <v>2156</v>
      </c>
      <c r="J21" t="s">
        <v>45</v>
      </c>
    </row>
    <row r="22" spans="2:10" x14ac:dyDescent="0.3">
      <c r="F22" t="s">
        <v>46</v>
      </c>
      <c r="G22">
        <v>25</v>
      </c>
      <c r="H22" t="s">
        <v>94</v>
      </c>
    </row>
    <row r="23" spans="2:10" x14ac:dyDescent="0.3">
      <c r="B23" s="1"/>
      <c r="F23" t="s">
        <v>47</v>
      </c>
      <c r="G23">
        <v>75</v>
      </c>
      <c r="H23" t="s">
        <v>94</v>
      </c>
    </row>
    <row r="24" spans="2:10" x14ac:dyDescent="0.3">
      <c r="B24" t="s">
        <v>69</v>
      </c>
      <c r="F24" t="s">
        <v>14</v>
      </c>
      <c r="G24">
        <f>29/sq*1.06*(228+Tcond)/(228+20)/nc/ncrc/npar</f>
        <v>5.7298585335107911E-3</v>
      </c>
      <c r="H24" t="s">
        <v>15</v>
      </c>
      <c r="J24" t="s">
        <v>106</v>
      </c>
    </row>
    <row r="25" spans="2:10" ht="15.6" x14ac:dyDescent="0.3">
      <c r="C25" s="1" t="s">
        <v>66</v>
      </c>
      <c r="F25" s="4" t="s">
        <v>48</v>
      </c>
      <c r="G25">
        <f>J25*25.4</f>
        <v>22.377399999999998</v>
      </c>
      <c r="H25" t="s">
        <v>51</v>
      </c>
      <c r="J25" s="6">
        <f>1.762/2</f>
        <v>0.88100000000000001</v>
      </c>
    </row>
    <row r="26" spans="2:10" x14ac:dyDescent="0.3">
      <c r="B26" t="s">
        <v>67</v>
      </c>
      <c r="F26" t="s">
        <v>50</v>
      </c>
      <c r="G26">
        <v>400</v>
      </c>
      <c r="H26" t="s">
        <v>51</v>
      </c>
    </row>
    <row r="27" spans="2:10" x14ac:dyDescent="0.3">
      <c r="B27" s="1" t="s">
        <v>68</v>
      </c>
      <c r="F27" t="s">
        <v>52</v>
      </c>
      <c r="G27">
        <f>IF(nc&gt;1,H27,rt)</f>
        <v>22.377399999999998</v>
      </c>
      <c r="H27">
        <f>(rt*nc*(dist/2/SIN(PI()/nc)^(nc-1)))^(1/nc)</f>
        <v>4475.4799999999996</v>
      </c>
      <c r="J27" t="s">
        <v>53</v>
      </c>
    </row>
    <row r="28" spans="2:10" x14ac:dyDescent="0.3">
      <c r="B28" s="1"/>
      <c r="F28" s="1" t="s">
        <v>56</v>
      </c>
      <c r="G28">
        <f>4*PI()/10^4</f>
        <v>1.2566370614359172E-3</v>
      </c>
      <c r="H28" t="s">
        <v>58</v>
      </c>
    </row>
    <row r="29" spans="2:10" x14ac:dyDescent="0.3">
      <c r="B29" s="1"/>
      <c r="F29" s="1" t="s">
        <v>57</v>
      </c>
      <c r="G29">
        <v>1</v>
      </c>
      <c r="H29" t="s">
        <v>59</v>
      </c>
    </row>
    <row r="30" spans="2:10" x14ac:dyDescent="0.3">
      <c r="B30" t="s">
        <v>70</v>
      </c>
      <c r="F30" t="s">
        <v>16</v>
      </c>
      <c r="G30">
        <f>frq*µo*(µr/4/nc+LN(Dm*1000/req))/ncrc/npar</f>
        <v>7.4132702902744776E-2</v>
      </c>
      <c r="H30" t="s">
        <v>15</v>
      </c>
      <c r="J30" t="s">
        <v>54</v>
      </c>
    </row>
    <row r="31" spans="2:10" x14ac:dyDescent="0.3">
      <c r="B31" s="1"/>
      <c r="C31" t="s">
        <v>71</v>
      </c>
      <c r="F31" s="1" t="s">
        <v>60</v>
      </c>
      <c r="G31">
        <f>8.854/10^9</f>
        <v>8.8539999999999994E-9</v>
      </c>
      <c r="H31" t="s">
        <v>63</v>
      </c>
      <c r="J31" t="s">
        <v>62</v>
      </c>
    </row>
    <row r="32" spans="2:10" x14ac:dyDescent="0.3">
      <c r="B32" s="1"/>
      <c r="F32" s="1" t="s">
        <v>61</v>
      </c>
      <c r="G32">
        <v>1</v>
      </c>
      <c r="H32" t="s">
        <v>59</v>
      </c>
    </row>
    <row r="33" spans="2:9" x14ac:dyDescent="0.3">
      <c r="B33" s="1"/>
      <c r="F33" t="s">
        <v>17</v>
      </c>
      <c r="G33">
        <f>2*PI()*εr*εo/LN(Dm*1000/req)*ncrc*npar</f>
        <v>5.9084903714091399E-8</v>
      </c>
      <c r="H33" t="s">
        <v>18</v>
      </c>
    </row>
    <row r="36" spans="2:9" x14ac:dyDescent="0.3">
      <c r="F36" t="s">
        <v>21</v>
      </c>
      <c r="G36" t="str">
        <f>COMPLEX(G16,0)</f>
        <v>79.6743371481684</v>
      </c>
    </row>
    <row r="37" spans="2:9" x14ac:dyDescent="0.3">
      <c r="E37">
        <f>Sr/SQRT(3)/ULL</f>
        <v>2.5102185616940256</v>
      </c>
      <c r="F37" t="s">
        <v>22</v>
      </c>
      <c r="G37" t="str">
        <f>COMPLEX(E37*COS(fi),-E37*SIN(fi))</f>
        <v>2.51021856169403</v>
      </c>
    </row>
    <row r="38" spans="2:9" ht="15.6" x14ac:dyDescent="0.3">
      <c r="F38" s="4" t="s">
        <v>23</v>
      </c>
      <c r="G38">
        <v>1</v>
      </c>
    </row>
    <row r="39" spans="2:9" x14ac:dyDescent="0.3">
      <c r="F39" t="s">
        <v>24</v>
      </c>
      <c r="G39">
        <f>ACOS(G38)</f>
        <v>0</v>
      </c>
    </row>
    <row r="40" spans="2:9" x14ac:dyDescent="0.3">
      <c r="D40" t="s">
        <v>97</v>
      </c>
      <c r="F40" t="s">
        <v>42</v>
      </c>
      <c r="G40" t="str">
        <f>IMPRODUCT(3,Ur,IMCONJUGATE(Ir))</f>
        <v>600.000000000002</v>
      </c>
    </row>
    <row r="41" spans="2:9" x14ac:dyDescent="0.3">
      <c r="F41" t="s">
        <v>25</v>
      </c>
      <c r="G41">
        <f>IMAGINARY(Srcalc)</f>
        <v>0</v>
      </c>
    </row>
    <row r="42" spans="2:9" x14ac:dyDescent="0.3">
      <c r="F42" t="s">
        <v>26</v>
      </c>
      <c r="G42">
        <f>IMREAL(Srcalc)</f>
        <v>600.00000000000205</v>
      </c>
    </row>
    <row r="43" spans="2:9" x14ac:dyDescent="0.3">
      <c r="F43" t="s">
        <v>27</v>
      </c>
      <c r="G43" t="str">
        <f>COMPLEX(Rl,Xl)</f>
        <v>0.00572985853351079+0.0741327029027448i</v>
      </c>
    </row>
    <row r="44" spans="2:9" x14ac:dyDescent="0.3">
      <c r="F44" t="s">
        <v>28</v>
      </c>
      <c r="G44" t="str">
        <f>COMPLEX(0,2*PI()*frq*Cap)</f>
        <v>0.00002227448393355i</v>
      </c>
    </row>
    <row r="45" spans="2:9" x14ac:dyDescent="0.3">
      <c r="F45" t="s">
        <v>29</v>
      </c>
      <c r="G45" t="str">
        <f>IMSQRT(IMPRODUCT(RandX,GandC))</f>
        <v>0.0000496237093562252+0.00128597442131953i</v>
      </c>
    </row>
    <row r="46" spans="2:9" x14ac:dyDescent="0.3">
      <c r="F46" t="s">
        <v>30</v>
      </c>
      <c r="G46" t="str">
        <f>IMPRODUCT(G18,γ)</f>
        <v>0.00555785544789722+0.144029135187787i</v>
      </c>
    </row>
    <row r="47" spans="2:9" x14ac:dyDescent="0.3">
      <c r="D47" t="s">
        <v>64</v>
      </c>
      <c r="E47">
        <f>IMABS(Z)</f>
        <v>57.776041817199456</v>
      </c>
      <c r="F47" t="s">
        <v>31</v>
      </c>
      <c r="G47" t="str">
        <f>IMSQRT(IMDIV(RandX,GandC))</f>
        <v>57.7330736440805-2.22782756737549i</v>
      </c>
    </row>
    <row r="48" spans="2:9" x14ac:dyDescent="0.3">
      <c r="F48" t="s">
        <v>32</v>
      </c>
      <c r="G48" t="str">
        <f>IMDIV(IMSUM(IMEXP(gl),IMEXP(IMPRODUCT(-1,gl))),2)</f>
        <v>0.989661007119915+0.000797732466026005i</v>
      </c>
      <c r="I48" t="str">
        <f>IMDIV(IMSUM(IMEXP(gl),IMEXP(IMPRODUCT(-1,gl))),2)</f>
        <v>0.989661007119915+0.000797732466026005i</v>
      </c>
    </row>
    <row r="49" spans="3:18" x14ac:dyDescent="0.3">
      <c r="F49" t="s">
        <v>33</v>
      </c>
      <c r="G49" t="str">
        <f>IMDIV(IMSUB(IMEXP(gl),IMEXP(IMPRODUCT(-1,gl))),2)</f>
        <v>0.0055003361854265+0.143533902133394i</v>
      </c>
      <c r="I49" t="str">
        <f>IMDIV(IMSUB(IMEXP(gl),IMEXP(IMPRODUCT(-1,gl))),2)</f>
        <v>0.0055003361854265+0.143533902133394i</v>
      </c>
    </row>
    <row r="50" spans="3:18" x14ac:dyDescent="0.3">
      <c r="D50">
        <f>E50/G16</f>
        <v>1.0430499271723463</v>
      </c>
      <c r="E50">
        <f>IMABS(Us)</f>
        <v>83.104311559901973</v>
      </c>
      <c r="F50" t="s">
        <v>19</v>
      </c>
      <c r="G50" t="str">
        <f>IMSUM(IMPRODUCT(Ur,chg),IMPRODUCT(Z,Ir,shg))</f>
        <v>80.4503974836246+20.8341101219146i</v>
      </c>
    </row>
    <row r="51" spans="3:18" x14ac:dyDescent="0.3">
      <c r="F51" t="s">
        <v>20</v>
      </c>
      <c r="G51" t="str">
        <f>IMSUM(IMPRODUCT(Ir,chg),IMPRODUCT(IMDIV(Ur,Z),shg))</f>
        <v>2.48421250244818+0.200083926906698i</v>
      </c>
    </row>
    <row r="52" spans="3:18" x14ac:dyDescent="0.3">
      <c r="F52" t="s">
        <v>34</v>
      </c>
      <c r="G52" t="str">
        <f>IMPRODUCT(3,Us,IMCONJUGATE(Is))</f>
        <v>612.073361467635+106.978576177542i</v>
      </c>
    </row>
    <row r="53" spans="3:18" x14ac:dyDescent="0.3">
      <c r="F53" t="s">
        <v>35</v>
      </c>
      <c r="G53">
        <f>IMAGINARY(Ss)</f>
        <v>106.978576177542</v>
      </c>
    </row>
    <row r="54" spans="3:18" x14ac:dyDescent="0.3">
      <c r="C54" t="s">
        <v>96</v>
      </c>
      <c r="E54" t="s">
        <v>36</v>
      </c>
      <c r="F54" t="s">
        <v>37</v>
      </c>
      <c r="G54">
        <f>G53-G41</f>
        <v>106.978576177542</v>
      </c>
    </row>
    <row r="55" spans="3:18" x14ac:dyDescent="0.3">
      <c r="F55" t="s">
        <v>43</v>
      </c>
      <c r="G55">
        <f>IMREAL(Ss)</f>
        <v>612.07336146763498</v>
      </c>
    </row>
    <row r="56" spans="3:18" x14ac:dyDescent="0.3">
      <c r="C56" t="s">
        <v>95</v>
      </c>
      <c r="E56" t="s">
        <v>38</v>
      </c>
      <c r="F56" t="s">
        <v>39</v>
      </c>
      <c r="G56">
        <f>G55-G42</f>
        <v>12.073361467632935</v>
      </c>
    </row>
    <row r="57" spans="3:18" x14ac:dyDescent="0.3">
      <c r="E57">
        <f>(D50-1)</f>
        <v>4.3049927172346347E-2</v>
      </c>
      <c r="F57" t="s">
        <v>72</v>
      </c>
      <c r="G57">
        <f>E57*100</f>
        <v>4.3049927172346347</v>
      </c>
      <c r="H57" t="s">
        <v>73</v>
      </c>
    </row>
    <row r="60" spans="3:18" ht="18" x14ac:dyDescent="0.35">
      <c r="G60" s="2" t="s">
        <v>74</v>
      </c>
    </row>
    <row r="61" spans="3:18" x14ac:dyDescent="0.3">
      <c r="O61" t="s">
        <v>75</v>
      </c>
      <c r="P61" t="s">
        <v>76</v>
      </c>
    </row>
    <row r="62" spans="3:18" x14ac:dyDescent="0.3">
      <c r="P62" t="s">
        <v>77</v>
      </c>
    </row>
    <row r="63" spans="3:18" x14ac:dyDescent="0.3">
      <c r="P63" t="s">
        <v>78</v>
      </c>
    </row>
    <row r="64" spans="3:18" x14ac:dyDescent="0.3">
      <c r="Q64" t="s">
        <v>79</v>
      </c>
      <c r="R64" t="s">
        <v>80</v>
      </c>
    </row>
    <row r="65" spans="16:20" x14ac:dyDescent="0.3">
      <c r="P65" t="s">
        <v>81</v>
      </c>
      <c r="Q65">
        <f>5.4-4.6</f>
        <v>0.80000000000000071</v>
      </c>
      <c r="R65">
        <v>4.4000000000000004</v>
      </c>
      <c r="S65">
        <f>SQRT(Q65^2+R65^2)</f>
        <v>4.4721359549995796</v>
      </c>
    </row>
    <row r="66" spans="16:20" x14ac:dyDescent="0.3">
      <c r="P66" t="s">
        <v>82</v>
      </c>
      <c r="Q66">
        <v>0.8</v>
      </c>
      <c r="R66">
        <v>4.0999999999999996</v>
      </c>
      <c r="S66">
        <f t="shared" ref="S66:S73" si="0">SQRT(Q66^2+R66^2)</f>
        <v>4.1773197148410848</v>
      </c>
    </row>
    <row r="67" spans="16:20" x14ac:dyDescent="0.3">
      <c r="P67" t="s">
        <v>83</v>
      </c>
      <c r="Q67">
        <v>0</v>
      </c>
      <c r="R67">
        <f>4.4+4.1</f>
        <v>8.5</v>
      </c>
      <c r="S67">
        <f t="shared" si="0"/>
        <v>8.5</v>
      </c>
    </row>
    <row r="68" spans="16:20" x14ac:dyDescent="0.3">
      <c r="P68" t="s">
        <v>84</v>
      </c>
      <c r="Q68">
        <f>4.6+5.4</f>
        <v>10</v>
      </c>
      <c r="R68">
        <v>4.4000000000000004</v>
      </c>
      <c r="S68">
        <f t="shared" si="0"/>
        <v>10.925200226998131</v>
      </c>
    </row>
    <row r="69" spans="16:20" x14ac:dyDescent="0.3">
      <c r="P69" t="s">
        <v>85</v>
      </c>
      <c r="Q69">
        <f>5.4+4.6</f>
        <v>10</v>
      </c>
      <c r="R69">
        <v>4.0999999999999996</v>
      </c>
      <c r="S69">
        <f t="shared" si="0"/>
        <v>10.807867504739313</v>
      </c>
    </row>
    <row r="70" spans="16:20" x14ac:dyDescent="0.3">
      <c r="P70" t="s">
        <v>86</v>
      </c>
      <c r="Q70">
        <f>2*4.6</f>
        <v>9.1999999999999993</v>
      </c>
      <c r="R70">
        <f>4.4+4.1</f>
        <v>8.5</v>
      </c>
      <c r="S70">
        <f t="shared" si="0"/>
        <v>12.525573839150045</v>
      </c>
      <c r="T70">
        <f>PRODUCT(S65:S70)</f>
        <v>234854.39276385659</v>
      </c>
    </row>
    <row r="71" spans="16:20" x14ac:dyDescent="0.3">
      <c r="P71" t="s">
        <v>87</v>
      </c>
      <c r="Q71">
        <f>2*4.6</f>
        <v>9.1999999999999993</v>
      </c>
      <c r="R71">
        <v>0</v>
      </c>
      <c r="S71">
        <f t="shared" si="0"/>
        <v>9.1999999999999993</v>
      </c>
    </row>
    <row r="72" spans="16:20" x14ac:dyDescent="0.3">
      <c r="P72" t="s">
        <v>88</v>
      </c>
      <c r="Q72">
        <f>2*5.4</f>
        <v>10.8</v>
      </c>
      <c r="R72">
        <v>0</v>
      </c>
      <c r="S72">
        <f t="shared" si="0"/>
        <v>10.8</v>
      </c>
    </row>
    <row r="73" spans="16:20" x14ac:dyDescent="0.3">
      <c r="P73" t="s">
        <v>89</v>
      </c>
      <c r="Q73">
        <f>2*4.6</f>
        <v>9.1999999999999993</v>
      </c>
      <c r="R73">
        <v>0</v>
      </c>
      <c r="S73">
        <f t="shared" si="0"/>
        <v>9.1999999999999993</v>
      </c>
      <c r="T73">
        <f>PRODUCT(S71:S73)</f>
        <v>914.11199999999997</v>
      </c>
    </row>
    <row r="74" spans="16:20" ht="15.6" x14ac:dyDescent="0.3">
      <c r="S74" s="3" t="s">
        <v>75</v>
      </c>
      <c r="T74" s="4">
        <f>(T70/T73)^(1/3)</f>
        <v>6.3572080674396148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45</vt:i4>
      </vt:variant>
    </vt:vector>
  </HeadingPairs>
  <TitlesOfParts>
    <vt:vector size="46" baseType="lpstr">
      <vt:lpstr>Sheet1</vt:lpstr>
      <vt:lpstr>µo</vt:lpstr>
      <vt:lpstr>µr</vt:lpstr>
      <vt:lpstr>Cap</vt:lpstr>
      <vt:lpstr>chg</vt:lpstr>
      <vt:lpstr>dist</vt:lpstr>
      <vt:lpstr>Dm</vt:lpstr>
      <vt:lpstr>fi</vt:lpstr>
      <vt:lpstr>frq</vt:lpstr>
      <vt:lpstr>GandC</vt:lpstr>
      <vt:lpstr>gl</vt:lpstr>
      <vt:lpstr>Ir</vt:lpstr>
      <vt:lpstr>Is</vt:lpstr>
      <vt:lpstr>length</vt:lpstr>
      <vt:lpstr>nc</vt:lpstr>
      <vt:lpstr>ncnew</vt:lpstr>
      <vt:lpstr>ncrc</vt:lpstr>
      <vt:lpstr>npar</vt:lpstr>
      <vt:lpstr>p.f.</vt:lpstr>
      <vt:lpstr>Ploss</vt:lpstr>
      <vt:lpstr>Pr</vt:lpstr>
      <vt:lpstr>Ps</vt:lpstr>
      <vt:lpstr>Qr</vt:lpstr>
      <vt:lpstr>Qs</vt:lpstr>
      <vt:lpstr>Qsloss</vt:lpstr>
      <vt:lpstr>RandX</vt:lpstr>
      <vt:lpstr>req</vt:lpstr>
      <vt:lpstr>Rl</vt:lpstr>
      <vt:lpstr>rt</vt:lpstr>
      <vt:lpstr>shg</vt:lpstr>
      <vt:lpstr>SIL</vt:lpstr>
      <vt:lpstr>sq</vt:lpstr>
      <vt:lpstr>Sr</vt:lpstr>
      <vt:lpstr>Srcalc</vt:lpstr>
      <vt:lpstr>Ss</vt:lpstr>
      <vt:lpstr>Stran</vt:lpstr>
      <vt:lpstr>Tamb</vt:lpstr>
      <vt:lpstr>Tcond</vt:lpstr>
      <vt:lpstr>ULL</vt:lpstr>
      <vt:lpstr>Ur</vt:lpstr>
      <vt:lpstr>Us</vt:lpstr>
      <vt:lpstr>Xl</vt:lpstr>
      <vt:lpstr>Z</vt:lpstr>
      <vt:lpstr>γ</vt:lpstr>
      <vt:lpstr>εo</vt:lpstr>
      <vt:lpstr>εr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Julius Grad</dc:creator>
  <cp:lastModifiedBy>G.I.</cp:lastModifiedBy>
  <dcterms:created xsi:type="dcterms:W3CDTF">2020-08-27T14:23:04Z</dcterms:created>
  <dcterms:modified xsi:type="dcterms:W3CDTF">2020-08-28T17:17:19Z</dcterms:modified>
</cp:coreProperties>
</file>